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e.r\OneDrive - Register OÜ\Desktop\"/>
    </mc:Choice>
  </mc:AlternateContent>
  <bookViews>
    <workbookView xWindow="-120" yWindow="-120" windowWidth="29040" windowHeight="15840"/>
  </bookViews>
  <sheets>
    <sheet name="Sheet" sheetId="1" r:id="rId1"/>
  </sheets>
  <definedNames>
    <definedName name="_xlnm._FilterDatabase" localSheetId="0" hidden="1">Sheet!$A$1:$AF$163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7" i="1" l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AF13" i="1" l="1"/>
  <c r="AF5" i="1"/>
  <c r="AF11" i="1"/>
  <c r="AF8" i="1"/>
  <c r="AF2" i="1"/>
  <c r="AF19" i="1"/>
  <c r="AF22" i="1"/>
  <c r="AF10" i="1"/>
  <c r="AF25" i="1"/>
  <c r="AF20" i="1"/>
  <c r="AF30" i="1"/>
  <c r="AF7" i="1"/>
  <c r="AF12" i="1"/>
  <c r="AF16" i="1"/>
  <c r="AF31" i="1"/>
  <c r="AF27" i="1"/>
  <c r="AF3" i="1"/>
  <c r="AF26" i="1"/>
  <c r="AF34" i="1"/>
  <c r="AF9" i="1"/>
  <c r="AF36" i="1"/>
  <c r="AF24" i="1"/>
  <c r="AF14" i="1"/>
  <c r="AF29" i="1"/>
  <c r="AF18" i="1"/>
  <c r="AF32" i="1"/>
  <c r="AF37" i="1"/>
  <c r="AF17" i="1"/>
  <c r="AF15" i="1"/>
  <c r="AF28" i="1"/>
  <c r="AF33" i="1"/>
  <c r="AF4" i="1"/>
</calcChain>
</file>

<file path=xl/sharedStrings.xml><?xml version="1.0" encoding="utf-8"?>
<sst xmlns="http://schemas.openxmlformats.org/spreadsheetml/2006/main" count="400" uniqueCount="234">
  <si>
    <t>ALIRON OÜ</t>
  </si>
  <si>
    <t>19.09.2011</t>
  </si>
  <si>
    <t>F</t>
  </si>
  <si>
    <t>EE101479873</t>
  </si>
  <si>
    <t>Tartu linn, Raua tn 15b-2, 50106, Tartu linn, Tartu maakond, Eesti Vabariik</t>
  </si>
  <si>
    <t>Margus Kibal</t>
  </si>
  <si>
    <t>Neutraalne</t>
  </si>
  <si>
    <t>C</t>
  </si>
  <si>
    <t>01.01.1994</t>
  </si>
  <si>
    <t>G</t>
  </si>
  <si>
    <t>TARTAL GRUPP OÜ</t>
  </si>
  <si>
    <t>23.02.2004</t>
  </si>
  <si>
    <t>EE100905377</t>
  </si>
  <si>
    <t>Tartu linn, Tähe tn 129b, 50113, Tartu linn, Tartu maakond, Eesti Vabariik</t>
  </si>
  <si>
    <t>Ard Ernits</t>
  </si>
  <si>
    <t>TIIR AS</t>
  </si>
  <si>
    <t>EE100067590</t>
  </si>
  <si>
    <t>Uus-Roomassaare tn 35, 93815, Kuressaare linn, Saaremaa vald, Saare maakond, Eesti Vabariik</t>
  </si>
  <si>
    <t>Kalmer Sink</t>
  </si>
  <si>
    <t>MR VAADER OÜ</t>
  </si>
  <si>
    <t>01.07.2008</t>
  </si>
  <si>
    <t>EE101238991</t>
  </si>
  <si>
    <t>Tartu linn, Tähe tn 114, 51013, Tartu linn, Tartu maakond, Eesti Vabariik</t>
  </si>
  <si>
    <t>Marti Vitkar</t>
  </si>
  <si>
    <t>AMV HOUSE OÜ</t>
  </si>
  <si>
    <t>29.12.2016</t>
  </si>
  <si>
    <t>EE101943655</t>
  </si>
  <si>
    <t>Kuusikuveere, 60532, Tila küla, Tartu vald, Tartu maakond, Eesti Vabariik</t>
  </si>
  <si>
    <t>Marko Lõuk</t>
  </si>
  <si>
    <t>SCANHUS OÜ</t>
  </si>
  <si>
    <t>24.10.2011</t>
  </si>
  <si>
    <t>EE101489708</t>
  </si>
  <si>
    <t>Töökoja tn 9, 11313, Tallinn linn, Harju maakond, Eesti Vabariik</t>
  </si>
  <si>
    <t>Siim Rool</t>
  </si>
  <si>
    <t>KENOVER PUIT OÜ</t>
  </si>
  <si>
    <t>10.07.1998</t>
  </si>
  <si>
    <t>EE100373077</t>
  </si>
  <si>
    <t>Turdja, 75116, Nõrava küla, Kose vald, Harju maakond, Eesti Vabariik</t>
  </si>
  <si>
    <t>Ivo Raud</t>
  </si>
  <si>
    <t>MEEG OÜ</t>
  </si>
  <si>
    <t>20.03.2015</t>
  </si>
  <si>
    <t>EE101863010</t>
  </si>
  <si>
    <t>3 241 €</t>
  </si>
  <si>
    <t>Kauri tee 16/3-6, 76403, Alliku küla, Saue vald, Harju maakond, Eesti Vabariik</t>
  </si>
  <si>
    <t>Marko Mesipuu</t>
  </si>
  <si>
    <t>VORTEKO OÜ</t>
  </si>
  <si>
    <t>10.06.2009</t>
  </si>
  <si>
    <t>EE101333443</t>
  </si>
  <si>
    <t>Kuldala tee 13-3, 75312, Peetri alevik, Rae vald, Harju maakond, Eesti Vabariik</t>
  </si>
  <si>
    <t>Terje Truss</t>
  </si>
  <si>
    <t>SULANE OÜ</t>
  </si>
  <si>
    <t>15.12.1997</t>
  </si>
  <si>
    <t>EE100183212</t>
  </si>
  <si>
    <t>Pärnu mnt 40, 75301, Tallinn linn, Harju maakond, Eesti Vabariik</t>
  </si>
  <si>
    <t>Katrin Kullisaar</t>
  </si>
  <si>
    <t>MERTI TOOTMINE OÜ</t>
  </si>
  <si>
    <t>20.06.2011</t>
  </si>
  <si>
    <t>EE101460620</t>
  </si>
  <si>
    <t>Põdrangu tee 4/3, 46105, Sääse alevik, Tapa vald, Lääne-Viru maakond, Eesti Vabariik</t>
  </si>
  <si>
    <t>Erko Jullinen</t>
  </si>
  <si>
    <t>SEMT OÜ</t>
  </si>
  <si>
    <t>15.12.2006</t>
  </si>
  <si>
    <t>EE101323262</t>
  </si>
  <si>
    <t>4 571 €</t>
  </si>
  <si>
    <t>Tartu linn, Riia tn 130b/3, 51014, Tartu linn, Tartu maakond, Eesti Vabariik</t>
  </si>
  <si>
    <t>Edgar Toots</t>
  </si>
  <si>
    <t>JAAGOR GRUPP OÜ</t>
  </si>
  <si>
    <t>31.03.2008</t>
  </si>
  <si>
    <t>EE101247762</t>
  </si>
  <si>
    <t>Tartu linn, Õpetaja tn 9, 51003, Tartu linn, Tartu maakond, Eesti Vabariik</t>
  </si>
  <si>
    <t>Ingmar Kiidjärv</t>
  </si>
  <si>
    <t>PRO-BUILDING OÜ</t>
  </si>
  <si>
    <t>13.06.2006</t>
  </si>
  <si>
    <t>EE101363167</t>
  </si>
  <si>
    <t>Tartu linn, Turu tn 47/2, 50106, Tartu linn, Tartu maakond, Eesti Vabariik</t>
  </si>
  <si>
    <t>Kaarel Jürissaar</t>
  </si>
  <si>
    <t>01.07.1995</t>
  </si>
  <si>
    <t>VOLARI BETOONITÖÖD OÜ</t>
  </si>
  <si>
    <t>11.11.2005</t>
  </si>
  <si>
    <t>EE101016456</t>
  </si>
  <si>
    <t>Tartu linn, Ilmatsalu tn 3b, 51014, Tartu linn, Tartu maakond, Eesti Vabariik</t>
  </si>
  <si>
    <t>Jaanus Leppik</t>
  </si>
  <si>
    <t>BALTIC LOGHOUSES OÜ</t>
  </si>
  <si>
    <t>23.02.2001</t>
  </si>
  <si>
    <t>EE100676790</t>
  </si>
  <si>
    <t>2 191 €</t>
  </si>
  <si>
    <t>Rahu töökoda, 61202, Annikoru küla, Elva vald, Tartu maakond, Eesti Vabariik</t>
  </si>
  <si>
    <t>Aare Metsaluik</t>
  </si>
  <si>
    <t>TEVO KAUP AS</t>
  </si>
  <si>
    <t>EE100287930</t>
  </si>
  <si>
    <t>Tartu linn, Riia tn 140a, 51014, Tartu linn, Tartu maakond, Eesti Vabariik</t>
  </si>
  <si>
    <t>Kaido Metsa</t>
  </si>
  <si>
    <t>PUUMARKET AS</t>
  </si>
  <si>
    <t>01.11.1994</t>
  </si>
  <si>
    <t>EE100192737</t>
  </si>
  <si>
    <t>Väike-Männiku tn 11, 11216, Tallinn linn, Harju maakond, Eesti Vabariik</t>
  </si>
  <si>
    <t>Raivo Lillemets</t>
  </si>
  <si>
    <t>ALION EST PL OÜ</t>
  </si>
  <si>
    <t>18.02.2004</t>
  </si>
  <si>
    <t>EE100883156</t>
  </si>
  <si>
    <t>45 417 €</t>
  </si>
  <si>
    <t>maja 4-11, 67501, Nõuni küla, Palupera vald, Valga maakond, Eesti Vabariik</t>
  </si>
  <si>
    <t>Piret Kulasalu</t>
  </si>
  <si>
    <t>RAINTER OÜ</t>
  </si>
  <si>
    <t>27.08.1997</t>
  </si>
  <si>
    <t>EE100046362</t>
  </si>
  <si>
    <t>Tartu linn, Kolde tn 7-1, 50109, Tartu linn, Tartu maakond, Eesti Vabariik</t>
  </si>
  <si>
    <t>Raido Kübar</t>
  </si>
  <si>
    <t>SONETUM OÜ</t>
  </si>
  <si>
    <t>17.12.2012</t>
  </si>
  <si>
    <t>EE101648484</t>
  </si>
  <si>
    <t>84 044 €</t>
  </si>
  <si>
    <t>Taela tn 4a, 13521, Tallinn linn, Harju maakond, Eesti Vabariik</t>
  </si>
  <si>
    <t>Inga Arro</t>
  </si>
  <si>
    <t>LANDCAPITAL OÜ</t>
  </si>
  <si>
    <t>09.03.2006</t>
  </si>
  <si>
    <t>EE101101895</t>
  </si>
  <si>
    <t>Tartu linn, Vasara tn 52d, 50113, Tartu linn, Tartu maakond, Eesti Vabariik</t>
  </si>
  <si>
    <t>Igor Šerman</t>
  </si>
  <si>
    <t>ESTNOR OÜ</t>
  </si>
  <si>
    <t>20.10.2000</t>
  </si>
  <si>
    <t>EE100650305</t>
  </si>
  <si>
    <t>Kurna tee 33, 75401, Kiili alev, Kiili vald, Harju maakond, Eesti Vabariik</t>
  </si>
  <si>
    <t>Renee Mikomägi</t>
  </si>
  <si>
    <t>ARCA NOVA ELEMENT OÜ</t>
  </si>
  <si>
    <t>20.12.2007</t>
  </si>
  <si>
    <t>EE101198675</t>
  </si>
  <si>
    <t>Tallinna mnt 46, 79401, Juuru alevik, Rapla vald, Rapla maakond, Eesti Vabariik</t>
  </si>
  <si>
    <t>Timo Trilljärv</t>
  </si>
  <si>
    <t>SILMAR EHITUSMEISTER OÜ</t>
  </si>
  <si>
    <t>13.04.2006</t>
  </si>
  <si>
    <t>EE101193670</t>
  </si>
  <si>
    <t>Raudtee tn 3, 68606, Tõrva linn, Tõrva vald, Valga maakond, Eesti Vabariik</t>
  </si>
  <si>
    <t>Ilmar Sild</t>
  </si>
  <si>
    <t>MOUNTAIN LOGHOME OÜ</t>
  </si>
  <si>
    <t>14.12.1998</t>
  </si>
  <si>
    <t>EE100502181</t>
  </si>
  <si>
    <t>Metsatuka tn 2a, 75501, Saku alevik, Saku vald, Harju maakond, Eesti Vabariik</t>
  </si>
  <si>
    <t>Priit Leisalu</t>
  </si>
  <si>
    <t>PUUMAJATEHASE OÜ</t>
  </si>
  <si>
    <t>05.06.2007</t>
  </si>
  <si>
    <t>EE101159410</t>
  </si>
  <si>
    <t>8 913 €</t>
  </si>
  <si>
    <t>Tartu linn, Betooni tn 9, 51014, Tartu linn, Tartu maakond, Eesti Vabariik</t>
  </si>
  <si>
    <t>Ando Arvisto</t>
  </si>
  <si>
    <t>NORDIC DESIGN PRODUCT OÜ</t>
  </si>
  <si>
    <t>23.12.2008</t>
  </si>
  <si>
    <t>EE101314860</t>
  </si>
  <si>
    <t>J. Kuperjanovi tn 101b, 68207, Valga linn, Valga vald, Valga maakond, Eesti Vabariik</t>
  </si>
  <si>
    <t>Arina Lukovikova</t>
  </si>
  <si>
    <t>BHH BALTIC OÜ</t>
  </si>
  <si>
    <t>20.10.2011</t>
  </si>
  <si>
    <t>EE101571784</t>
  </si>
  <si>
    <t>1 406 €</t>
  </si>
  <si>
    <t>Maakri tn 23a, 10917, Tallinn linn, Harju maakond, Eesti Vabariik</t>
  </si>
  <si>
    <t>Kert Kits</t>
  </si>
  <si>
    <t>NATURAL AS</t>
  </si>
  <si>
    <t>EE100386187</t>
  </si>
  <si>
    <t>Jaani tee 22, 73001, Koeru alevik, Järva vald, Järva maakond, Eesti Vabariik</t>
  </si>
  <si>
    <t>Raido Rubli</t>
  </si>
  <si>
    <t>MESSIEHITUS OÜ</t>
  </si>
  <si>
    <t>02.02.1996</t>
  </si>
  <si>
    <t>EE100258325</t>
  </si>
  <si>
    <t>Karjavälja tn 10, 12918, Tallinn linn, Harju maakond, Eesti Vabariik</t>
  </si>
  <si>
    <t>Jaanus Mesak</t>
  </si>
  <si>
    <t>7ELEMENT OÜ</t>
  </si>
  <si>
    <t>27.10.2005</t>
  </si>
  <si>
    <t>EE101008561</t>
  </si>
  <si>
    <t>Mõisa tee 19, 76402, Ääsmäe küla, Saue vald, Harju maakond, Eesti Vabariik</t>
  </si>
  <si>
    <t>Peep Freirik</t>
  </si>
  <si>
    <t>AURICU OÜ</t>
  </si>
  <si>
    <t>15.06.2007</t>
  </si>
  <si>
    <t>EE101320870</t>
  </si>
  <si>
    <t>Tartu linn, Turu tn 24, 50106, Tartu linn, Tartu maakond, Eesti Vabariik</t>
  </si>
  <si>
    <t>Tanel Tereping</t>
  </si>
  <si>
    <t>ESTHUS OÜ</t>
  </si>
  <si>
    <t>13.02.2009</t>
  </si>
  <si>
    <t>EE101305332</t>
  </si>
  <si>
    <t>4 792 €</t>
  </si>
  <si>
    <t>Tartu linn, Meisli tn 8, 50106, Tartu linn, Tartu maakond, Eesti Vabariik</t>
  </si>
  <si>
    <t>Diana Sosnovski</t>
  </si>
  <si>
    <t>ALUSEHITUS OÜ</t>
  </si>
  <si>
    <t>03.12.2002</t>
  </si>
  <si>
    <t>EE100797307</t>
  </si>
  <si>
    <t>Näki tee 20, 61703, Laane küla, Kambja vald, Tartu maakond, Eesti Vabariik</t>
  </si>
  <si>
    <t>Aivo Kert</t>
  </si>
  <si>
    <t>FERMHOUSE OÜ</t>
  </si>
  <si>
    <t>06.12.2005</t>
  </si>
  <si>
    <t>EE101018603</t>
  </si>
  <si>
    <t>Niinsoni tee 1, 74501, Aegviidu alev, Anija vald, Harju maakond, Eesti Vabariik</t>
  </si>
  <si>
    <t>Reimo Rihkrand</t>
  </si>
  <si>
    <t>Reg. Code</t>
  </si>
  <si>
    <t>Company name</t>
  </si>
  <si>
    <t>Aaddress</t>
  </si>
  <si>
    <t>Risc class cescription</t>
  </si>
  <si>
    <t>Credit policy</t>
  </si>
  <si>
    <t>Rep. Score</t>
  </si>
  <si>
    <t>Board member name</t>
  </si>
  <si>
    <t>Board member av. Credit score</t>
  </si>
  <si>
    <t>Board menmber ricsc class</t>
  </si>
  <si>
    <t>Board menmber CV URL</t>
  </si>
  <si>
    <t>Web</t>
  </si>
  <si>
    <t>Average salary</t>
  </si>
  <si>
    <t>Number of employees</t>
  </si>
  <si>
    <t>Turnover (€)</t>
  </si>
  <si>
    <t>National taxes (€)</t>
  </si>
  <si>
    <t>National debt start date</t>
  </si>
  <si>
    <t>National debt (€)</t>
  </si>
  <si>
    <t>Last submitted annual report</t>
  </si>
  <si>
    <t>Credit limit (optional)</t>
  </si>
  <si>
    <t>Risc class</t>
  </si>
  <si>
    <t>Credit Score</t>
  </si>
  <si>
    <t>VAT end</t>
  </si>
  <si>
    <t>VAT start</t>
  </si>
  <si>
    <t>VAT nr</t>
  </si>
  <si>
    <t>SSB main link</t>
  </si>
  <si>
    <t>NACE</t>
  </si>
  <si>
    <t>Sector</t>
  </si>
  <si>
    <t>Status</t>
  </si>
  <si>
    <t>Registration date</t>
  </si>
  <si>
    <t>In registry</t>
  </si>
  <si>
    <t>Bankrupt</t>
  </si>
  <si>
    <t>In liquidation</t>
  </si>
  <si>
    <t>Debt to creditors (€)</t>
  </si>
  <si>
    <t>Labor taxes (€)</t>
  </si>
  <si>
    <t>Estimated turnover (€)</t>
  </si>
  <si>
    <t>Trustworthy</t>
  </si>
  <si>
    <t>Risky</t>
  </si>
  <si>
    <t>Borderline</t>
  </si>
  <si>
    <t>Problematic</t>
  </si>
  <si>
    <t>Sell on normal terms</t>
  </si>
  <si>
    <t>Monitor and / or lower the limit</t>
  </si>
  <si>
    <t>Prepay only</t>
  </si>
  <si>
    <t>Advance payment or additional guarantee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</si>
</sst>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yyyy\-mm\-dd"/>
    <numFmt numFmtId="165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rgb="FF0777D9"/>
      <name val="Calibri"/>
    </font>
    <font>
      <b/>
      <sz val="11"/>
      <color rgb="FF93003C"/>
      <name val="Calibri"/>
    </font>
    <font>
      <b/>
      <sz val="11"/>
      <color rgb="FFFFCB05"/>
      <name val="Calibri"/>
    </font>
    <font>
      <b/>
      <sz val="11"/>
      <color rgb="FF8DC63F"/>
      <name val="Calibri"/>
    </font>
    <font>
      <b/>
      <sz val="11"/>
      <color rgb="FF409A3C"/>
      <name val="Calibri"/>
    </font>
    <font>
      <b/>
      <sz val="11"/>
      <color rgb="FFF37121"/>
      <name val="Calibri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990033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3" fillId="0" borderId="0" xfId="0" applyNumberFormat="1" applyFont="1"/>
    <xf numFmtId="0" fontId="7" fillId="0" borderId="0" xfId="0" applyFont="1"/>
    <xf numFmtId="0" fontId="8" fillId="0" borderId="0" xfId="0" applyFont="1"/>
    <xf numFmtId="6" fontId="0" fillId="0" borderId="0" xfId="0" applyNumberFormat="1"/>
    <xf numFmtId="0" fontId="9" fillId="0" borderId="0" xfId="0" applyFont="1" applyAlignment="1">
      <alignment vertical="top" wrapText="1"/>
    </xf>
    <xf numFmtId="165" fontId="9" fillId="0" borderId="0" xfId="0" applyNumberFormat="1" applyFont="1" applyAlignment="1">
      <alignment vertical="top" wrapText="1"/>
    </xf>
    <xf numFmtId="165" fontId="3" fillId="0" borderId="0" xfId="0" applyNumberFormat="1" applyFont="1"/>
    <xf numFmtId="165" fontId="0" fillId="0" borderId="0" xfId="0" applyNumberFormat="1"/>
    <xf numFmtId="0" fontId="10" fillId="0" borderId="0" xfId="0" applyFont="1"/>
    <xf numFmtId="0" fontId="9" fillId="0" borderId="0" xfId="0" applyFont="1"/>
    <xf numFmtId="6" fontId="10" fillId="0" borderId="0" xfId="0" applyNumberFormat="1" applyFont="1"/>
    <xf numFmtId="0" fontId="1" fillId="0" borderId="0" xfId="0" applyFont="1"/>
    <xf numFmtId="0" fontId="11" fillId="0" borderId="0" xfId="1"/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6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0033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1" sqref="O1:O1048576"/>
    </sheetView>
  </sheetViews>
  <sheetFormatPr defaultColWidth="12" defaultRowHeight="15" x14ac:dyDescent="0.25"/>
  <cols>
    <col min="2" max="2" width="21.28515625" style="16" customWidth="1"/>
    <col min="4" max="4" width="17.7109375" customWidth="1"/>
    <col min="5" max="5" width="7" customWidth="1"/>
    <col min="6" max="6" width="8" customWidth="1"/>
    <col min="7" max="7" width="11.28515625" customWidth="1"/>
    <col min="10" max="10" width="6.85546875" customWidth="1"/>
    <col min="11" max="11" width="9.28515625" customWidth="1"/>
    <col min="15" max="15" width="12" style="23"/>
    <col min="17" max="17" width="12" style="14"/>
    <col min="24" max="24" width="13" customWidth="1"/>
    <col min="25" max="25" width="18" customWidth="1"/>
    <col min="26" max="26" width="20.42578125" customWidth="1"/>
    <col min="28" max="28" width="13.85546875" customWidth="1"/>
    <col min="32" max="32" width="8.28515625" customWidth="1"/>
  </cols>
  <sheetData>
    <row r="1" spans="1:32" s="11" customFormat="1" ht="65.25" customHeight="1" x14ac:dyDescent="0.25">
      <c r="A1" s="11" t="s">
        <v>191</v>
      </c>
      <c r="B1" s="11" t="s">
        <v>192</v>
      </c>
      <c r="C1" s="11" t="s">
        <v>219</v>
      </c>
      <c r="D1" s="11" t="s">
        <v>218</v>
      </c>
      <c r="E1" s="11" t="s">
        <v>217</v>
      </c>
      <c r="F1" s="11" t="s">
        <v>216</v>
      </c>
      <c r="G1" s="11" t="s">
        <v>215</v>
      </c>
      <c r="H1" s="11" t="s">
        <v>214</v>
      </c>
      <c r="I1" s="11" t="s">
        <v>213</v>
      </c>
      <c r="J1" s="11" t="s">
        <v>212</v>
      </c>
      <c r="K1" s="11" t="s">
        <v>211</v>
      </c>
      <c r="L1" s="11" t="s">
        <v>210</v>
      </c>
      <c r="M1" s="11" t="s">
        <v>209</v>
      </c>
      <c r="N1" s="11" t="s">
        <v>208</v>
      </c>
      <c r="O1" s="20" t="s">
        <v>207</v>
      </c>
      <c r="P1" s="11" t="s">
        <v>206</v>
      </c>
      <c r="Q1" s="12" t="s">
        <v>223</v>
      </c>
      <c r="R1" s="11" t="s">
        <v>205</v>
      </c>
      <c r="S1" s="11" t="s">
        <v>224</v>
      </c>
      <c r="T1" s="11" t="s">
        <v>204</v>
      </c>
      <c r="U1" s="11" t="s">
        <v>203</v>
      </c>
      <c r="V1" s="11" t="s">
        <v>225</v>
      </c>
      <c r="W1" s="11" t="s">
        <v>202</v>
      </c>
      <c r="X1" s="11" t="s">
        <v>193</v>
      </c>
      <c r="Y1" s="11" t="s">
        <v>194</v>
      </c>
      <c r="Z1" s="11" t="s">
        <v>195</v>
      </c>
      <c r="AA1" s="11" t="s">
        <v>196</v>
      </c>
      <c r="AB1" s="11" t="s">
        <v>197</v>
      </c>
      <c r="AC1" s="11" t="s">
        <v>198</v>
      </c>
      <c r="AD1" s="11" t="s">
        <v>199</v>
      </c>
      <c r="AE1" s="11" t="s">
        <v>200</v>
      </c>
      <c r="AF1" s="11" t="s">
        <v>201</v>
      </c>
    </row>
    <row r="2" spans="1:32" ht="20.25" customHeight="1" x14ac:dyDescent="0.25">
      <c r="A2">
        <v>11181453</v>
      </c>
      <c r="B2" s="18" t="s">
        <v>165</v>
      </c>
      <c r="C2" t="s">
        <v>166</v>
      </c>
      <c r="D2" t="s">
        <v>220</v>
      </c>
      <c r="E2" t="s">
        <v>7</v>
      </c>
      <c r="F2">
        <v>16232</v>
      </c>
      <c r="G2" s="19" t="str">
        <f>HYPERLINK("https://scorestorybook.ee/en/firma?f=11181453","link")</f>
        <v>link</v>
      </c>
      <c r="H2" t="s">
        <v>167</v>
      </c>
      <c r="I2" s="2">
        <v>38671</v>
      </c>
      <c r="K2">
        <v>0.01</v>
      </c>
      <c r="L2">
        <v>1</v>
      </c>
      <c r="M2" s="10">
        <v>15600</v>
      </c>
      <c r="N2">
        <v>2018</v>
      </c>
      <c r="O2" s="21"/>
      <c r="P2" s="3"/>
      <c r="Q2" s="13"/>
      <c r="R2" s="17">
        <v>0</v>
      </c>
      <c r="S2" s="10">
        <v>26377</v>
      </c>
      <c r="T2" s="10">
        <v>207762</v>
      </c>
      <c r="U2">
        <v>19</v>
      </c>
      <c r="V2" s="10">
        <v>1354327</v>
      </c>
      <c r="W2" s="10">
        <v>1040</v>
      </c>
      <c r="X2" t="s">
        <v>168</v>
      </c>
      <c r="Y2" s="6" t="s">
        <v>226</v>
      </c>
      <c r="Z2" t="s">
        <v>230</v>
      </c>
      <c r="AA2">
        <v>2590</v>
      </c>
      <c r="AB2" t="s">
        <v>169</v>
      </c>
      <c r="AC2">
        <v>0.42599999999999999</v>
      </c>
      <c r="AD2" s="3" t="s">
        <v>227</v>
      </c>
      <c r="AE2" s="19" t="str">
        <f>HYPERLINK("https://scorestorybook.ee/en/juhatuse-liikme-cv?id=272192","link")</f>
        <v>link</v>
      </c>
      <c r="AF2" s="1" t="str">
        <f>HYPERLINK("http://7element.ee ","link")</f>
        <v>link</v>
      </c>
    </row>
    <row r="3" spans="1:32" ht="20.25" customHeight="1" x14ac:dyDescent="0.25">
      <c r="A3">
        <v>11005331</v>
      </c>
      <c r="B3" s="18" t="s">
        <v>97</v>
      </c>
      <c r="C3" t="s">
        <v>98</v>
      </c>
      <c r="D3" s="15" t="s">
        <v>221</v>
      </c>
      <c r="E3" t="s">
        <v>2</v>
      </c>
      <c r="F3">
        <v>42991</v>
      </c>
      <c r="G3" s="19" t="str">
        <f>HYPERLINK("https://scorestorybook.ee/en/firma?f=11005331","link")</f>
        <v>link</v>
      </c>
      <c r="H3" t="s">
        <v>99</v>
      </c>
      <c r="I3" s="2">
        <v>38048</v>
      </c>
      <c r="K3" s="15">
        <v>1</v>
      </c>
      <c r="L3">
        <v>5</v>
      </c>
      <c r="M3" s="17">
        <v>0</v>
      </c>
      <c r="N3" s="15">
        <v>2014</v>
      </c>
      <c r="O3" s="21" t="s">
        <v>100</v>
      </c>
      <c r="P3" s="7">
        <v>42410</v>
      </c>
      <c r="Q3" s="13">
        <v>7947.12</v>
      </c>
      <c r="R3" s="17">
        <v>0</v>
      </c>
      <c r="S3" s="17">
        <v>0</v>
      </c>
      <c r="T3" s="17">
        <v>0</v>
      </c>
      <c r="U3" s="15">
        <v>0</v>
      </c>
      <c r="V3" s="17">
        <v>0</v>
      </c>
      <c r="W3" s="17">
        <v>0</v>
      </c>
      <c r="X3" t="s">
        <v>101</v>
      </c>
      <c r="Y3" s="3" t="s">
        <v>227</v>
      </c>
      <c r="Z3" s="15" t="s">
        <v>232</v>
      </c>
      <c r="AA3" s="15">
        <v>-2235</v>
      </c>
      <c r="AB3" t="s">
        <v>102</v>
      </c>
      <c r="AC3">
        <v>0.80200000000000005</v>
      </c>
      <c r="AD3" s="3" t="s">
        <v>227</v>
      </c>
      <c r="AE3" s="19" t="str">
        <f>HYPERLINK("https://scorestorybook.ee/en/juhatuse-liikme-cv?id=304579","link")</f>
        <v>link</v>
      </c>
      <c r="AF3" s="1" t="str">
        <f>HYPERLINK("http://www.mexlem.ee","link")</f>
        <v>link</v>
      </c>
    </row>
    <row r="4" spans="1:32" ht="20.25" customHeight="1" x14ac:dyDescent="0.25">
      <c r="A4">
        <v>12163244</v>
      </c>
      <c r="B4" s="18" t="s">
        <v>0</v>
      </c>
      <c r="C4" t="s">
        <v>1</v>
      </c>
      <c r="D4" t="s">
        <v>220</v>
      </c>
      <c r="E4" t="s">
        <v>2</v>
      </c>
      <c r="F4">
        <v>41201</v>
      </c>
      <c r="G4" s="19" t="str">
        <f>HYPERLINK("https://scorestorybook.ee/en/firma?f=12163244","link")</f>
        <v>link</v>
      </c>
      <c r="H4" t="s">
        <v>3</v>
      </c>
      <c r="I4" s="2">
        <v>40808</v>
      </c>
      <c r="K4">
        <v>0.41199999999999998</v>
      </c>
      <c r="L4">
        <v>3</v>
      </c>
      <c r="M4" s="10">
        <v>4100</v>
      </c>
      <c r="N4">
        <v>2018</v>
      </c>
      <c r="O4" s="21"/>
      <c r="P4" s="3"/>
      <c r="Q4" s="13"/>
      <c r="R4" s="10">
        <v>18879</v>
      </c>
      <c r="S4" s="10">
        <v>19452</v>
      </c>
      <c r="T4" s="10">
        <v>168957</v>
      </c>
      <c r="U4">
        <v>16</v>
      </c>
      <c r="V4" s="10">
        <v>802296</v>
      </c>
      <c r="W4" s="10">
        <v>910</v>
      </c>
      <c r="X4" t="s">
        <v>4</v>
      </c>
      <c r="Y4" s="4" t="s">
        <v>228</v>
      </c>
      <c r="Z4" t="s">
        <v>231</v>
      </c>
      <c r="AA4">
        <v>2030</v>
      </c>
      <c r="AB4" t="s">
        <v>5</v>
      </c>
      <c r="AC4">
        <v>0.23899999999999999</v>
      </c>
      <c r="AD4" s="5" t="s">
        <v>6</v>
      </c>
      <c r="AE4" s="19" t="str">
        <f>HYPERLINK("https://scorestorybook.ee/en/juhatuse-liikme-cv?id=405653","link")</f>
        <v>link</v>
      </c>
      <c r="AF4" s="1" t="str">
        <f>HYPERLINK("http://aliron.ee","link")</f>
        <v>link</v>
      </c>
    </row>
    <row r="5" spans="1:32" ht="20.25" customHeight="1" x14ac:dyDescent="0.25">
      <c r="A5">
        <v>10911300</v>
      </c>
      <c r="B5" s="18" t="s">
        <v>181</v>
      </c>
      <c r="C5" t="s">
        <v>182</v>
      </c>
      <c r="D5" t="s">
        <v>220</v>
      </c>
      <c r="E5" t="s">
        <v>2</v>
      </c>
      <c r="F5">
        <v>41201</v>
      </c>
      <c r="G5" s="19" t="str">
        <f>HYPERLINK("https://scorestorybook.ee/en/firma?f=10911300","link")</f>
        <v>link</v>
      </c>
      <c r="H5" t="s">
        <v>183</v>
      </c>
      <c r="I5" s="2">
        <v>37622</v>
      </c>
      <c r="K5">
        <v>0.01</v>
      </c>
      <c r="L5">
        <v>1</v>
      </c>
      <c r="M5" s="10">
        <v>24000</v>
      </c>
      <c r="N5">
        <v>2018</v>
      </c>
      <c r="O5" s="21"/>
      <c r="P5" s="3"/>
      <c r="Q5" s="13"/>
      <c r="R5" s="10">
        <v>25225</v>
      </c>
      <c r="S5" s="10">
        <v>13246</v>
      </c>
      <c r="T5" s="10">
        <v>322061</v>
      </c>
      <c r="U5">
        <v>16</v>
      </c>
      <c r="V5" s="10">
        <v>926439</v>
      </c>
      <c r="W5" s="10">
        <v>715</v>
      </c>
      <c r="X5" t="s">
        <v>184</v>
      </c>
      <c r="Y5" s="6" t="s">
        <v>226</v>
      </c>
      <c r="Z5" t="s">
        <v>230</v>
      </c>
      <c r="AA5">
        <v>870</v>
      </c>
      <c r="AB5" t="s">
        <v>185</v>
      </c>
      <c r="AC5">
        <v>0.01</v>
      </c>
      <c r="AD5" s="6" t="s">
        <v>226</v>
      </c>
      <c r="AE5" s="19" t="str">
        <f>HYPERLINK("https://scorestorybook.ee/en/juhatuse-liikme-cv?id=299589","link")</f>
        <v>link</v>
      </c>
      <c r="AF5" s="1" t="str">
        <f>HYPERLINK("http://alusehitus.ee","link")</f>
        <v>link</v>
      </c>
    </row>
    <row r="6" spans="1:32" ht="20.25" customHeight="1" x14ac:dyDescent="0.25">
      <c r="A6">
        <v>14175884</v>
      </c>
      <c r="B6" s="18" t="s">
        <v>24</v>
      </c>
      <c r="C6" t="s">
        <v>25</v>
      </c>
      <c r="D6" t="s">
        <v>220</v>
      </c>
      <c r="E6" t="s">
        <v>7</v>
      </c>
      <c r="F6">
        <v>16232</v>
      </c>
      <c r="G6" s="19" t="str">
        <f>HYPERLINK("https://scorestorybook.ee/en/firma?f=14175884","link")</f>
        <v>link</v>
      </c>
      <c r="H6" t="s">
        <v>26</v>
      </c>
      <c r="I6" s="2">
        <v>42762</v>
      </c>
      <c r="K6">
        <v>0.01</v>
      </c>
      <c r="L6">
        <v>1</v>
      </c>
      <c r="M6" s="10">
        <v>12600</v>
      </c>
      <c r="N6">
        <v>2018</v>
      </c>
      <c r="O6" s="21"/>
      <c r="P6" s="3"/>
      <c r="Q6" s="13"/>
      <c r="R6" s="10">
        <v>11907</v>
      </c>
      <c r="S6" s="10">
        <v>13024</v>
      </c>
      <c r="T6" s="10">
        <v>164626</v>
      </c>
      <c r="U6">
        <v>11</v>
      </c>
      <c r="V6" s="10">
        <v>392670</v>
      </c>
      <c r="W6" s="10">
        <v>910</v>
      </c>
      <c r="X6" t="s">
        <v>27</v>
      </c>
      <c r="Y6" s="6" t="s">
        <v>226</v>
      </c>
      <c r="Z6" t="s">
        <v>230</v>
      </c>
      <c r="AA6">
        <v>800</v>
      </c>
      <c r="AB6" t="s">
        <v>28</v>
      </c>
      <c r="AC6">
        <v>0.63700000000000001</v>
      </c>
      <c r="AD6" s="3" t="s">
        <v>227</v>
      </c>
      <c r="AE6" s="19" t="str">
        <f>HYPERLINK("https://scorestorybook.ee/en/juhatuse-liikme-cv?id=306433","link")</f>
        <v>link</v>
      </c>
    </row>
    <row r="7" spans="1:32" ht="20.25" customHeight="1" x14ac:dyDescent="0.25">
      <c r="A7">
        <v>11423889</v>
      </c>
      <c r="B7" s="18" t="s">
        <v>124</v>
      </c>
      <c r="C7" t="s">
        <v>125</v>
      </c>
      <c r="D7" t="s">
        <v>220</v>
      </c>
      <c r="E7" t="s">
        <v>7</v>
      </c>
      <c r="F7">
        <v>16232</v>
      </c>
      <c r="G7" s="19" t="str">
        <f>HYPERLINK("https://scorestorybook.ee/en/firma?f=11423889","link")</f>
        <v>link</v>
      </c>
      <c r="H7" t="s">
        <v>126</v>
      </c>
      <c r="I7" s="2">
        <v>39449</v>
      </c>
      <c r="K7">
        <v>0.01</v>
      </c>
      <c r="L7">
        <v>1</v>
      </c>
      <c r="M7" s="10">
        <v>100000</v>
      </c>
      <c r="N7">
        <v>2019</v>
      </c>
      <c r="O7" s="21"/>
      <c r="P7" s="3"/>
      <c r="Q7" s="13"/>
      <c r="R7" s="10">
        <v>85645</v>
      </c>
      <c r="S7" s="10">
        <v>92383</v>
      </c>
      <c r="T7" s="10">
        <v>1331656</v>
      </c>
      <c r="U7">
        <v>39</v>
      </c>
      <c r="V7" s="10">
        <v>5476313</v>
      </c>
      <c r="W7" s="10">
        <v>1540</v>
      </c>
      <c r="X7" t="s">
        <v>127</v>
      </c>
      <c r="Y7" s="6" t="s">
        <v>226</v>
      </c>
      <c r="Z7" t="s">
        <v>230</v>
      </c>
      <c r="AA7">
        <v>6830</v>
      </c>
      <c r="AB7" t="s">
        <v>128</v>
      </c>
      <c r="AC7">
        <v>0.01</v>
      </c>
      <c r="AD7" s="6" t="s">
        <v>226</v>
      </c>
      <c r="AE7" s="19" t="str">
        <f>HYPERLINK("https://scorestorybook.ee/en/juhatuse-liikme-cv?id=987051","link")</f>
        <v>link</v>
      </c>
      <c r="AF7" s="1" t="str">
        <f>HYPERLINK("http://arcanova.ee","link")</f>
        <v>link</v>
      </c>
    </row>
    <row r="8" spans="1:32" ht="20.25" customHeight="1" x14ac:dyDescent="0.25">
      <c r="A8">
        <v>11378999</v>
      </c>
      <c r="B8" s="18" t="s">
        <v>170</v>
      </c>
      <c r="C8" t="s">
        <v>171</v>
      </c>
      <c r="D8" t="s">
        <v>220</v>
      </c>
      <c r="E8" t="s">
        <v>2</v>
      </c>
      <c r="F8">
        <v>43291</v>
      </c>
      <c r="G8" s="19" t="str">
        <f>HYPERLINK("https://scorestorybook.ee/en/firma?f=11378999","link")</f>
        <v>link</v>
      </c>
      <c r="H8" t="s">
        <v>172</v>
      </c>
      <c r="I8" s="2">
        <v>40084</v>
      </c>
      <c r="K8">
        <v>0.01</v>
      </c>
      <c r="L8">
        <v>1</v>
      </c>
      <c r="M8" s="10">
        <v>83600</v>
      </c>
      <c r="N8">
        <v>2018</v>
      </c>
      <c r="O8" s="21"/>
      <c r="P8" s="3"/>
      <c r="Q8" s="13"/>
      <c r="R8" s="10">
        <v>19099</v>
      </c>
      <c r="S8" s="10">
        <v>14912</v>
      </c>
      <c r="T8" s="10">
        <v>1219284</v>
      </c>
      <c r="U8">
        <v>12</v>
      </c>
      <c r="V8" s="10">
        <v>5899914</v>
      </c>
      <c r="W8" s="10">
        <v>975</v>
      </c>
      <c r="X8" t="s">
        <v>173</v>
      </c>
      <c r="Y8" s="6" t="s">
        <v>226</v>
      </c>
      <c r="Z8" t="s">
        <v>230</v>
      </c>
      <c r="AA8">
        <v>3620</v>
      </c>
      <c r="AB8" t="s">
        <v>174</v>
      </c>
      <c r="AC8">
        <v>0.182</v>
      </c>
      <c r="AD8" s="5" t="s">
        <v>6</v>
      </c>
      <c r="AE8" s="19" t="str">
        <f>HYPERLINK("https://scorestorybook.ee/en/juhatuse-liikme-cv?id=329928","link")</f>
        <v>link</v>
      </c>
      <c r="AF8" s="1" t="str">
        <f>HYPERLINK("http://auricu.ee","link")</f>
        <v>link</v>
      </c>
    </row>
    <row r="9" spans="1:32" ht="20.25" customHeight="1" x14ac:dyDescent="0.25">
      <c r="A9">
        <v>10729682</v>
      </c>
      <c r="B9" s="18" t="s">
        <v>82</v>
      </c>
      <c r="C9" t="s">
        <v>83</v>
      </c>
      <c r="D9" t="s">
        <v>220</v>
      </c>
      <c r="E9" t="s">
        <v>7</v>
      </c>
      <c r="F9">
        <v>16101</v>
      </c>
      <c r="G9" s="19" t="str">
        <f>HYPERLINK("https://scorestorybook.ee/en/firma?f=10729682","link")</f>
        <v>link</v>
      </c>
      <c r="H9" t="s">
        <v>84</v>
      </c>
      <c r="I9" s="2">
        <v>36951</v>
      </c>
      <c r="K9" s="15">
        <v>0.999</v>
      </c>
      <c r="L9">
        <v>5</v>
      </c>
      <c r="M9" s="17">
        <v>0</v>
      </c>
      <c r="N9">
        <v>2018</v>
      </c>
      <c r="O9" s="21" t="s">
        <v>85</v>
      </c>
      <c r="P9" s="7">
        <v>43809</v>
      </c>
      <c r="Q9" s="13"/>
      <c r="R9" s="10">
        <v>12298</v>
      </c>
      <c r="S9" s="10">
        <v>8590</v>
      </c>
      <c r="T9" s="10">
        <v>97539</v>
      </c>
      <c r="U9">
        <v>5</v>
      </c>
      <c r="V9" s="10">
        <v>201557</v>
      </c>
      <c r="W9" s="10">
        <v>1240</v>
      </c>
      <c r="X9" t="s">
        <v>86</v>
      </c>
      <c r="Y9" s="3" t="s">
        <v>227</v>
      </c>
      <c r="Z9" s="15" t="s">
        <v>232</v>
      </c>
      <c r="AA9">
        <v>1080</v>
      </c>
      <c r="AB9" t="s">
        <v>87</v>
      </c>
      <c r="AC9">
        <v>0.255</v>
      </c>
      <c r="AD9" s="5" t="s">
        <v>6</v>
      </c>
      <c r="AE9" s="19" t="str">
        <f>HYPERLINK("https://scorestorybook.ee/en/juhatuse-liikme-cv?id=292614","link")</f>
        <v>link</v>
      </c>
      <c r="AF9" s="1" t="str">
        <f>HYPERLINK("http://www.balticloghouses.ee ","link")</f>
        <v>link</v>
      </c>
    </row>
    <row r="10" spans="1:32" ht="20.25" customHeight="1" x14ac:dyDescent="0.25">
      <c r="A10">
        <v>12179576</v>
      </c>
      <c r="B10" s="18" t="s">
        <v>150</v>
      </c>
      <c r="C10" t="s">
        <v>151</v>
      </c>
      <c r="D10" s="15" t="s">
        <v>222</v>
      </c>
      <c r="E10" t="s">
        <v>9</v>
      </c>
      <c r="F10">
        <v>46131</v>
      </c>
      <c r="G10" s="19" t="str">
        <f>HYPERLINK("https://scorestorybook.ee/en/firma?f=12179576","link")</f>
        <v>link</v>
      </c>
      <c r="H10" t="s">
        <v>152</v>
      </c>
      <c r="I10" s="2">
        <v>41095</v>
      </c>
      <c r="K10" s="15">
        <v>1</v>
      </c>
      <c r="L10">
        <v>5</v>
      </c>
      <c r="M10" s="17">
        <v>0</v>
      </c>
      <c r="N10">
        <v>2018</v>
      </c>
      <c r="O10" s="21" t="s">
        <v>153</v>
      </c>
      <c r="P10" s="7">
        <v>43900</v>
      </c>
      <c r="Q10" s="13"/>
      <c r="R10" s="17">
        <v>0</v>
      </c>
      <c r="S10" s="10">
        <v>2035</v>
      </c>
      <c r="T10" s="10">
        <v>174658</v>
      </c>
      <c r="U10">
        <v>1</v>
      </c>
      <c r="V10" s="10">
        <v>171021</v>
      </c>
      <c r="W10" s="10">
        <v>1390</v>
      </c>
      <c r="X10" t="s">
        <v>154</v>
      </c>
      <c r="Y10" s="3" t="s">
        <v>227</v>
      </c>
      <c r="Z10" s="15" t="s">
        <v>232</v>
      </c>
      <c r="AA10" s="15">
        <v>-10</v>
      </c>
      <c r="AB10" t="s">
        <v>155</v>
      </c>
      <c r="AC10">
        <v>0.439</v>
      </c>
      <c r="AD10" s="3" t="s">
        <v>227</v>
      </c>
      <c r="AE10" s="19" t="str">
        <f>HYPERLINK("https://scorestorybook.ee/en/juhatuse-liikme-cv?id=236266","link")</f>
        <v>link</v>
      </c>
      <c r="AF10" s="1" t="str">
        <f>HYPERLINK("http://elementhouse.ee","link")</f>
        <v>link</v>
      </c>
    </row>
    <row r="11" spans="1:32" ht="20.25" customHeight="1" x14ac:dyDescent="0.25">
      <c r="A11">
        <v>11572900</v>
      </c>
      <c r="B11" s="18" t="s">
        <v>175</v>
      </c>
      <c r="C11" t="s">
        <v>176</v>
      </c>
      <c r="D11" t="s">
        <v>220</v>
      </c>
      <c r="E11" t="s">
        <v>7</v>
      </c>
      <c r="F11">
        <v>16232</v>
      </c>
      <c r="G11" s="19" t="str">
        <f>HYPERLINK("https://scorestorybook.ee/en/firma?f=11572900","link")</f>
        <v>link</v>
      </c>
      <c r="H11" t="s">
        <v>177</v>
      </c>
      <c r="I11" s="2">
        <v>40014</v>
      </c>
      <c r="K11" s="15">
        <v>0.999</v>
      </c>
      <c r="L11">
        <v>5</v>
      </c>
      <c r="M11" s="17">
        <v>0</v>
      </c>
      <c r="N11">
        <v>2018</v>
      </c>
      <c r="O11" s="21" t="s">
        <v>178</v>
      </c>
      <c r="P11" s="7">
        <v>43689</v>
      </c>
      <c r="Q11" s="13"/>
      <c r="R11" s="10">
        <v>34707</v>
      </c>
      <c r="S11" s="10">
        <v>31736</v>
      </c>
      <c r="T11" s="10">
        <v>336108</v>
      </c>
      <c r="U11">
        <v>13</v>
      </c>
      <c r="V11" s="10">
        <v>1130690</v>
      </c>
      <c r="W11" s="10">
        <v>1615</v>
      </c>
      <c r="X11" t="s">
        <v>179</v>
      </c>
      <c r="Y11" s="3" t="s">
        <v>227</v>
      </c>
      <c r="Z11" s="15" t="s">
        <v>232</v>
      </c>
      <c r="AA11">
        <v>1752</v>
      </c>
      <c r="AB11" t="s">
        <v>180</v>
      </c>
      <c r="AC11">
        <v>0.435</v>
      </c>
      <c r="AD11" s="3" t="s">
        <v>227</v>
      </c>
      <c r="AE11" s="19" t="str">
        <f>HYPERLINK("https://scorestorybook.ee/en/juhatuse-liikme-cv?id=341650","link")</f>
        <v>link</v>
      </c>
      <c r="AF11" s="1" t="str">
        <f>HYPERLINK("http://esthus.ee ","link")</f>
        <v>link</v>
      </c>
    </row>
    <row r="12" spans="1:32" ht="20.25" customHeight="1" x14ac:dyDescent="0.25">
      <c r="A12">
        <v>10706304</v>
      </c>
      <c r="B12" s="18" t="s">
        <v>119</v>
      </c>
      <c r="C12" t="s">
        <v>120</v>
      </c>
      <c r="D12" t="s">
        <v>220</v>
      </c>
      <c r="E12" t="s">
        <v>7</v>
      </c>
      <c r="F12">
        <v>16232</v>
      </c>
      <c r="G12" s="19" t="str">
        <f>HYPERLINK("https://scorestorybook.ee/en/firma?f=10706304","link")</f>
        <v>link</v>
      </c>
      <c r="H12" t="s">
        <v>121</v>
      </c>
      <c r="I12" s="2">
        <v>36831</v>
      </c>
      <c r="K12" s="15">
        <v>0.95499999999999996</v>
      </c>
      <c r="L12">
        <v>5</v>
      </c>
      <c r="M12" s="17">
        <v>0</v>
      </c>
      <c r="N12">
        <v>2018</v>
      </c>
      <c r="O12" s="22">
        <v>32265</v>
      </c>
      <c r="P12" s="7">
        <v>43900</v>
      </c>
      <c r="Q12" s="13"/>
      <c r="R12" s="17">
        <v>0</v>
      </c>
      <c r="S12" s="10">
        <v>113252</v>
      </c>
      <c r="T12" s="10">
        <v>1700664</v>
      </c>
      <c r="U12">
        <v>36</v>
      </c>
      <c r="V12" s="10">
        <v>2448916</v>
      </c>
      <c r="W12" s="10">
        <v>1920</v>
      </c>
      <c r="X12" t="s">
        <v>122</v>
      </c>
      <c r="Y12" s="3" t="s">
        <v>227</v>
      </c>
      <c r="Z12" s="15" t="s">
        <v>232</v>
      </c>
      <c r="AA12">
        <v>3399</v>
      </c>
      <c r="AB12" t="s">
        <v>123</v>
      </c>
      <c r="AC12">
        <v>2.1000000000000001E-2</v>
      </c>
      <c r="AD12" s="6" t="s">
        <v>226</v>
      </c>
      <c r="AE12" s="19" t="str">
        <f>HYPERLINK("https://scorestorybook.ee/en/juhatuse-liikme-cv?id=291724","link")</f>
        <v>link</v>
      </c>
      <c r="AF12" s="1" t="str">
        <f>HYPERLINK("http://estnor.ee","link")</f>
        <v>link</v>
      </c>
    </row>
    <row r="13" spans="1:32" ht="20.25" customHeight="1" x14ac:dyDescent="0.25">
      <c r="A13">
        <v>11196934</v>
      </c>
      <c r="B13" s="18" t="s">
        <v>186</v>
      </c>
      <c r="C13" t="s">
        <v>187</v>
      </c>
      <c r="D13" t="s">
        <v>220</v>
      </c>
      <c r="E13" t="s">
        <v>7</v>
      </c>
      <c r="F13">
        <v>16232</v>
      </c>
      <c r="G13" s="19" t="str">
        <f>HYPERLINK("https://scorestorybook.ee/en/firma?f=11196934","link")</f>
        <v>link</v>
      </c>
      <c r="H13" t="s">
        <v>188</v>
      </c>
      <c r="I13" s="2">
        <v>38718</v>
      </c>
      <c r="K13">
        <v>0.01</v>
      </c>
      <c r="L13">
        <v>1</v>
      </c>
      <c r="M13" s="10">
        <v>2500</v>
      </c>
      <c r="N13">
        <v>2018</v>
      </c>
      <c r="O13" s="21"/>
      <c r="P13" s="3"/>
      <c r="Q13" s="13"/>
      <c r="R13" s="10">
        <v>6103</v>
      </c>
      <c r="S13" s="10">
        <v>2107</v>
      </c>
      <c r="T13" s="10">
        <v>29142</v>
      </c>
      <c r="U13">
        <v>3</v>
      </c>
      <c r="V13" s="10">
        <v>83493</v>
      </c>
      <c r="W13" s="10">
        <v>650</v>
      </c>
      <c r="X13" t="s">
        <v>189</v>
      </c>
      <c r="Y13" s="6" t="s">
        <v>226</v>
      </c>
      <c r="Z13" t="s">
        <v>230</v>
      </c>
      <c r="AA13">
        <v>970</v>
      </c>
      <c r="AB13" t="s">
        <v>190</v>
      </c>
      <c r="AC13">
        <v>0.01</v>
      </c>
      <c r="AD13" s="6" t="s">
        <v>226</v>
      </c>
      <c r="AE13" s="19" t="str">
        <f>HYPERLINK("https://scorestorybook.ee/en/juhatuse-liikme-cv?id=374942","link")</f>
        <v>link</v>
      </c>
      <c r="AF13" s="1" t="str">
        <f>HYPERLINK("http://fermhouse.ee","link")</f>
        <v>link</v>
      </c>
    </row>
    <row r="14" spans="1:32" ht="20.25" customHeight="1" x14ac:dyDescent="0.25">
      <c r="A14">
        <v>11479000</v>
      </c>
      <c r="B14" s="18" t="s">
        <v>66</v>
      </c>
      <c r="C14" t="s">
        <v>67</v>
      </c>
      <c r="D14" t="s">
        <v>220</v>
      </c>
      <c r="E14" t="s">
        <v>2</v>
      </c>
      <c r="F14">
        <v>41201</v>
      </c>
      <c r="G14" s="19" t="str">
        <f>HYPERLINK("https://scorestorybook.ee/en/firma?f=11479000","link")</f>
        <v>link</v>
      </c>
      <c r="H14" t="s">
        <v>68</v>
      </c>
      <c r="I14" s="2">
        <v>39691</v>
      </c>
      <c r="K14">
        <v>0.01</v>
      </c>
      <c r="L14">
        <v>1</v>
      </c>
      <c r="M14" s="10">
        <v>47800</v>
      </c>
      <c r="N14">
        <v>2018</v>
      </c>
      <c r="O14" s="21"/>
      <c r="P14" s="3"/>
      <c r="Q14" s="13"/>
      <c r="R14" s="10">
        <v>29988</v>
      </c>
      <c r="S14" s="10">
        <v>22077</v>
      </c>
      <c r="T14" s="10">
        <v>664635</v>
      </c>
      <c r="U14">
        <v>6</v>
      </c>
      <c r="V14" s="10">
        <v>6062550</v>
      </c>
      <c r="W14" s="10">
        <v>2205</v>
      </c>
      <c r="X14" t="s">
        <v>69</v>
      </c>
      <c r="Y14" s="6" t="s">
        <v>226</v>
      </c>
      <c r="Z14" t="s">
        <v>230</v>
      </c>
      <c r="AA14">
        <v>2820</v>
      </c>
      <c r="AB14" t="s">
        <v>70</v>
      </c>
      <c r="AC14">
        <v>0.60199999999999998</v>
      </c>
      <c r="AD14" s="3" t="s">
        <v>227</v>
      </c>
      <c r="AE14" s="19" t="str">
        <f>HYPERLINK("https://scorestorybook.ee/en/juhatuse-liikme-cv?id=285853","link")</f>
        <v>link</v>
      </c>
      <c r="AF14" s="1" t="str">
        <f>HYPERLINK("http://www.jaagor.ee","link")</f>
        <v>link</v>
      </c>
    </row>
    <row r="15" spans="1:32" ht="20.25" customHeight="1" x14ac:dyDescent="0.25">
      <c r="A15">
        <v>10475106</v>
      </c>
      <c r="B15" s="18" t="s">
        <v>34</v>
      </c>
      <c r="C15" t="s">
        <v>35</v>
      </c>
      <c r="D15" t="s">
        <v>220</v>
      </c>
      <c r="E15" t="s">
        <v>9</v>
      </c>
      <c r="F15">
        <v>46731</v>
      </c>
      <c r="G15" s="19" t="str">
        <f>HYPERLINK("https://scorestorybook.ee/en/firma?f=10475106","link")</f>
        <v>link</v>
      </c>
      <c r="H15" t="s">
        <v>36</v>
      </c>
      <c r="I15" s="2">
        <v>36069</v>
      </c>
      <c r="K15">
        <v>0.01</v>
      </c>
      <c r="L15">
        <v>1</v>
      </c>
      <c r="M15" s="10">
        <v>28500</v>
      </c>
      <c r="N15">
        <v>2018</v>
      </c>
      <c r="O15" s="21"/>
      <c r="P15" s="3"/>
      <c r="Q15" s="13"/>
      <c r="R15" s="17">
        <v>0</v>
      </c>
      <c r="S15" s="10">
        <v>2111</v>
      </c>
      <c r="T15" s="10">
        <v>425689</v>
      </c>
      <c r="U15">
        <v>1</v>
      </c>
      <c r="V15" s="10">
        <v>1483476</v>
      </c>
      <c r="W15" s="10">
        <v>1390</v>
      </c>
      <c r="X15" t="s">
        <v>37</v>
      </c>
      <c r="Y15" s="6" t="s">
        <v>226</v>
      </c>
      <c r="Z15" t="s">
        <v>230</v>
      </c>
      <c r="AA15">
        <v>1970</v>
      </c>
      <c r="AB15" t="s">
        <v>38</v>
      </c>
      <c r="AC15">
        <v>5.0000000000000001E-3</v>
      </c>
      <c r="AD15" s="6" t="s">
        <v>226</v>
      </c>
      <c r="AE15" s="19" t="str">
        <f>HYPERLINK("https://scorestorybook.ee/en/juhatuse-liikme-cv?id=283854","link")</f>
        <v>link</v>
      </c>
      <c r="AF15" s="1" t="str">
        <f>HYPERLINK("http://kenover.ee ","link")</f>
        <v>link</v>
      </c>
    </row>
    <row r="16" spans="1:32" ht="20.25" customHeight="1" x14ac:dyDescent="0.25">
      <c r="A16">
        <v>11229728</v>
      </c>
      <c r="B16" s="18" t="s">
        <v>114</v>
      </c>
      <c r="C16" t="s">
        <v>115</v>
      </c>
      <c r="D16" t="s">
        <v>220</v>
      </c>
      <c r="E16" t="s">
        <v>2</v>
      </c>
      <c r="F16">
        <v>43391</v>
      </c>
      <c r="G16" s="19" t="str">
        <f>HYPERLINK("https://scorestorybook.ee/en/firma?f=11229728","link")</f>
        <v>link</v>
      </c>
      <c r="H16" t="s">
        <v>116</v>
      </c>
      <c r="I16" s="2">
        <v>39062</v>
      </c>
      <c r="K16">
        <v>0.01</v>
      </c>
      <c r="L16">
        <v>1</v>
      </c>
      <c r="M16" s="10">
        <v>34800</v>
      </c>
      <c r="N16">
        <v>2018</v>
      </c>
      <c r="O16" s="21"/>
      <c r="P16" s="3"/>
      <c r="Q16" s="13"/>
      <c r="R16" s="10">
        <v>27262</v>
      </c>
      <c r="S16" s="10">
        <v>11366</v>
      </c>
      <c r="T16" s="10">
        <v>483769</v>
      </c>
      <c r="U16">
        <v>6</v>
      </c>
      <c r="V16" s="10">
        <v>2282876</v>
      </c>
      <c r="W16" s="10">
        <v>1315</v>
      </c>
      <c r="X16" t="s">
        <v>117</v>
      </c>
      <c r="Y16" s="6" t="s">
        <v>226</v>
      </c>
      <c r="Z16" t="s">
        <v>230</v>
      </c>
      <c r="AA16">
        <v>1930</v>
      </c>
      <c r="AB16" t="s">
        <v>118</v>
      </c>
      <c r="AC16">
        <v>0.14899999999999999</v>
      </c>
      <c r="AD16" s="5" t="s">
        <v>6</v>
      </c>
      <c r="AE16" s="19" t="str">
        <f>HYPERLINK("https://scorestorybook.ee/en/juhatuse-liikme-cv?id=318576","link")</f>
        <v>link</v>
      </c>
      <c r="AF16" s="1" t="str">
        <f>HYPERLINK("http://landcapital.ee","link")</f>
        <v>link</v>
      </c>
    </row>
    <row r="17" spans="1:32" ht="20.25" customHeight="1" x14ac:dyDescent="0.25">
      <c r="A17">
        <v>12819716</v>
      </c>
      <c r="B17" s="18" t="s">
        <v>39</v>
      </c>
      <c r="C17" t="s">
        <v>40</v>
      </c>
      <c r="D17" t="s">
        <v>220</v>
      </c>
      <c r="E17" t="s">
        <v>2</v>
      </c>
      <c r="F17">
        <v>41201</v>
      </c>
      <c r="G17" s="19" t="str">
        <f>HYPERLINK("https://scorestorybook.ee/en/firma?f=12819716","link")</f>
        <v>link</v>
      </c>
      <c r="H17" t="s">
        <v>41</v>
      </c>
      <c r="I17" s="2">
        <v>42457</v>
      </c>
      <c r="K17" s="15">
        <v>0.95499999999999996</v>
      </c>
      <c r="L17">
        <v>5</v>
      </c>
      <c r="M17" s="17">
        <v>0</v>
      </c>
      <c r="N17">
        <v>2018</v>
      </c>
      <c r="O17" s="21" t="s">
        <v>42</v>
      </c>
      <c r="P17" s="7">
        <v>43900</v>
      </c>
      <c r="Q17" s="13"/>
      <c r="R17" s="10">
        <v>56148</v>
      </c>
      <c r="S17" s="10">
        <v>9029</v>
      </c>
      <c r="T17" s="10">
        <v>414894</v>
      </c>
      <c r="U17">
        <v>6</v>
      </c>
      <c r="V17" s="10">
        <v>1045409</v>
      </c>
      <c r="W17" s="10">
        <v>1100</v>
      </c>
      <c r="X17" t="s">
        <v>43</v>
      </c>
      <c r="Y17" s="3" t="s">
        <v>227</v>
      </c>
      <c r="Z17" s="15" t="s">
        <v>232</v>
      </c>
      <c r="AA17">
        <v>842</v>
      </c>
      <c r="AB17" t="s">
        <v>44</v>
      </c>
      <c r="AC17">
        <v>0.34</v>
      </c>
      <c r="AD17" s="5" t="s">
        <v>6</v>
      </c>
      <c r="AE17" s="19" t="str">
        <f>HYPERLINK("https://scorestorybook.ee/en/juhatuse-liikme-cv?id=595516","link")</f>
        <v>link</v>
      </c>
      <c r="AF17" s="1" t="str">
        <f>HYPERLINK("http://meeg.ee","link")</f>
        <v>link</v>
      </c>
    </row>
    <row r="18" spans="1:32" ht="20.25" customHeight="1" x14ac:dyDescent="0.25">
      <c r="A18">
        <v>12123618</v>
      </c>
      <c r="B18" s="18" t="s">
        <v>55</v>
      </c>
      <c r="C18" t="s">
        <v>56</v>
      </c>
      <c r="D18" t="s">
        <v>220</v>
      </c>
      <c r="E18" t="s">
        <v>7</v>
      </c>
      <c r="F18">
        <v>32991</v>
      </c>
      <c r="G18" s="19" t="str">
        <f>HYPERLINK("https://scorestorybook.ee/en/firma?f=12123618","link")</f>
        <v>link</v>
      </c>
      <c r="H18" t="s">
        <v>57</v>
      </c>
      <c r="I18" s="2">
        <v>40725</v>
      </c>
      <c r="K18">
        <v>0.01</v>
      </c>
      <c r="L18">
        <v>1</v>
      </c>
      <c r="M18" s="10">
        <v>16900</v>
      </c>
      <c r="N18">
        <v>2018</v>
      </c>
      <c r="O18" s="21"/>
      <c r="P18" s="3"/>
      <c r="Q18" s="13"/>
      <c r="R18" s="10">
        <v>26360</v>
      </c>
      <c r="S18" s="10">
        <v>16494</v>
      </c>
      <c r="T18" s="10">
        <v>210485</v>
      </c>
      <c r="U18">
        <v>11</v>
      </c>
      <c r="V18" s="10">
        <v>649645</v>
      </c>
      <c r="W18" s="10">
        <v>1100</v>
      </c>
      <c r="X18" t="s">
        <v>58</v>
      </c>
      <c r="Y18" s="6" t="s">
        <v>226</v>
      </c>
      <c r="Z18" t="s">
        <v>230</v>
      </c>
      <c r="AA18">
        <v>2250</v>
      </c>
      <c r="AB18" t="s">
        <v>59</v>
      </c>
      <c r="AC18">
        <v>0.34</v>
      </c>
      <c r="AD18" s="5" t="s">
        <v>6</v>
      </c>
      <c r="AE18" s="19" t="str">
        <f>HYPERLINK("https://scorestorybook.ee/en/juhatuse-liikme-cv?id=330085","link")</f>
        <v>link</v>
      </c>
      <c r="AF18" s="1" t="str">
        <f>HYPERLINK("http://alusolutions.ee ","link")</f>
        <v>link</v>
      </c>
    </row>
    <row r="19" spans="1:32" ht="20.25" customHeight="1" x14ac:dyDescent="0.25">
      <c r="A19">
        <v>10009947</v>
      </c>
      <c r="B19" s="18" t="s">
        <v>160</v>
      </c>
      <c r="C19" t="s">
        <v>161</v>
      </c>
      <c r="D19" t="s">
        <v>220</v>
      </c>
      <c r="E19" t="s">
        <v>2</v>
      </c>
      <c r="F19">
        <v>41201</v>
      </c>
      <c r="G19" s="19" t="str">
        <f>HYPERLINK("https://scorestorybook.ee/en/firma?f=10009947","link")</f>
        <v>link</v>
      </c>
      <c r="H19" t="s">
        <v>162</v>
      </c>
      <c r="I19" s="2">
        <v>35125</v>
      </c>
      <c r="K19">
        <v>0.01</v>
      </c>
      <c r="L19">
        <v>1</v>
      </c>
      <c r="M19" s="10">
        <v>100000</v>
      </c>
      <c r="N19">
        <v>2018</v>
      </c>
      <c r="O19" s="21"/>
      <c r="P19" s="3"/>
      <c r="Q19" s="13"/>
      <c r="R19" s="10">
        <v>126012</v>
      </c>
      <c r="S19" s="10">
        <v>75508</v>
      </c>
      <c r="T19" s="10">
        <v>2787113</v>
      </c>
      <c r="U19">
        <v>17</v>
      </c>
      <c r="V19" s="10">
        <v>6872169</v>
      </c>
      <c r="W19" s="10">
        <v>2660</v>
      </c>
      <c r="X19" t="s">
        <v>163</v>
      </c>
      <c r="Y19" s="6" t="s">
        <v>226</v>
      </c>
      <c r="Z19" t="s">
        <v>230</v>
      </c>
      <c r="AA19">
        <v>4600</v>
      </c>
      <c r="AB19" t="s">
        <v>164</v>
      </c>
      <c r="AC19">
        <v>7.0000000000000001E-3</v>
      </c>
      <c r="AD19" s="6" t="s">
        <v>226</v>
      </c>
      <c r="AE19" s="19" t="str">
        <f>HYPERLINK("https://scorestorybook.ee/en/juhatuse-liikme-cv?id=264490","link")</f>
        <v>link</v>
      </c>
      <c r="AF19" s="1" t="str">
        <f>HYPERLINK("http://messiehitus.ee","link")</f>
        <v>link</v>
      </c>
    </row>
    <row r="20" spans="1:32" ht="20.25" customHeight="1" x14ac:dyDescent="0.25">
      <c r="A20">
        <v>10519080</v>
      </c>
      <c r="B20" s="18" t="s">
        <v>134</v>
      </c>
      <c r="C20" t="s">
        <v>135</v>
      </c>
      <c r="D20" t="s">
        <v>220</v>
      </c>
      <c r="E20" t="s">
        <v>7</v>
      </c>
      <c r="F20">
        <v>16232</v>
      </c>
      <c r="G20" s="19" t="str">
        <f>HYPERLINK("https://scorestorybook.ee/en/firma?f=10519080","link")</f>
        <v>link</v>
      </c>
      <c r="H20" t="s">
        <v>136</v>
      </c>
      <c r="I20" s="2">
        <v>36161</v>
      </c>
      <c r="K20">
        <v>0.01</v>
      </c>
      <c r="L20">
        <v>1</v>
      </c>
      <c r="M20" s="10">
        <v>16300</v>
      </c>
      <c r="N20">
        <v>2018</v>
      </c>
      <c r="O20" s="21"/>
      <c r="P20" s="3"/>
      <c r="Q20" s="13"/>
      <c r="R20" s="10">
        <v>33967</v>
      </c>
      <c r="S20" s="10">
        <v>21981</v>
      </c>
      <c r="T20" s="10">
        <v>188552</v>
      </c>
      <c r="U20">
        <v>16</v>
      </c>
      <c r="V20" s="10">
        <v>944000</v>
      </c>
      <c r="W20" s="10">
        <v>1040</v>
      </c>
      <c r="X20" t="s">
        <v>137</v>
      </c>
      <c r="Y20" s="6" t="s">
        <v>226</v>
      </c>
      <c r="Z20" t="s">
        <v>230</v>
      </c>
      <c r="AA20">
        <v>5400</v>
      </c>
      <c r="AB20" t="s">
        <v>138</v>
      </c>
      <c r="AC20">
        <v>0.25600000000000001</v>
      </c>
      <c r="AD20" s="5" t="s">
        <v>6</v>
      </c>
      <c r="AE20" s="19" t="str">
        <f>HYPERLINK("https://scorestorybook.ee/en/juhatuse-liikme-cv?id=335824","link")</f>
        <v>link</v>
      </c>
      <c r="AF20" s="1" t="str">
        <f>HYPERLINK("http://mountainloghome.ee","link")</f>
        <v>link</v>
      </c>
    </row>
    <row r="21" spans="1:32" ht="20.25" customHeight="1" x14ac:dyDescent="0.25">
      <c r="A21">
        <v>11498776</v>
      </c>
      <c r="B21" s="18" t="s">
        <v>19</v>
      </c>
      <c r="C21" t="s">
        <v>20</v>
      </c>
      <c r="D21" t="s">
        <v>220</v>
      </c>
      <c r="E21" t="s">
        <v>2</v>
      </c>
      <c r="F21">
        <v>41201</v>
      </c>
      <c r="G21" s="19" t="str">
        <f>HYPERLINK("https://scorestorybook.ee/en/firma?f=11498776","link")</f>
        <v>link</v>
      </c>
      <c r="H21" t="s">
        <v>21</v>
      </c>
      <c r="I21" s="2">
        <v>39636</v>
      </c>
      <c r="K21">
        <v>0.01</v>
      </c>
      <c r="L21">
        <v>1</v>
      </c>
      <c r="M21" s="10">
        <v>25700</v>
      </c>
      <c r="N21">
        <v>2018</v>
      </c>
      <c r="O21" s="21"/>
      <c r="P21" s="3"/>
      <c r="Q21" s="13"/>
      <c r="R21" s="10">
        <v>37538</v>
      </c>
      <c r="S21" s="10">
        <v>21557</v>
      </c>
      <c r="T21" s="10">
        <v>326130</v>
      </c>
      <c r="U21">
        <v>14</v>
      </c>
      <c r="V21" s="10">
        <v>772608</v>
      </c>
      <c r="W21" s="10">
        <v>1100</v>
      </c>
      <c r="X21" t="s">
        <v>22</v>
      </c>
      <c r="Y21" s="6" t="s">
        <v>226</v>
      </c>
      <c r="Z21" t="s">
        <v>230</v>
      </c>
      <c r="AA21">
        <v>1190</v>
      </c>
      <c r="AB21" t="s">
        <v>23</v>
      </c>
      <c r="AC21">
        <v>0.40200000000000002</v>
      </c>
      <c r="AD21" s="3" t="s">
        <v>227</v>
      </c>
      <c r="AE21" s="19" t="str">
        <f>HYPERLINK("https://scorestorybook.ee/en/juhatuse-liikme-cv?id=338981","link")</f>
        <v>link</v>
      </c>
    </row>
    <row r="22" spans="1:32" ht="20.25" customHeight="1" x14ac:dyDescent="0.25">
      <c r="A22">
        <v>10303196</v>
      </c>
      <c r="B22" s="18" t="s">
        <v>156</v>
      </c>
      <c r="C22" t="s">
        <v>8</v>
      </c>
      <c r="D22" t="s">
        <v>220</v>
      </c>
      <c r="E22" t="s">
        <v>7</v>
      </c>
      <c r="F22">
        <v>16101</v>
      </c>
      <c r="G22" s="19" t="str">
        <f>HYPERLINK("https://scorestorybook.ee/en/firma?f=10303196","link")</f>
        <v>link</v>
      </c>
      <c r="H22" t="s">
        <v>157</v>
      </c>
      <c r="I22" s="2">
        <v>34335</v>
      </c>
      <c r="K22">
        <v>0.01</v>
      </c>
      <c r="L22">
        <v>1</v>
      </c>
      <c r="M22" s="10">
        <v>100000</v>
      </c>
      <c r="N22">
        <v>2018</v>
      </c>
      <c r="O22" s="21"/>
      <c r="P22" s="3"/>
      <c r="Q22" s="13"/>
      <c r="R22" s="17">
        <v>0</v>
      </c>
      <c r="S22" s="10">
        <v>101516</v>
      </c>
      <c r="T22" s="10">
        <v>3190646</v>
      </c>
      <c r="U22">
        <v>46</v>
      </c>
      <c r="V22" s="10">
        <v>7244955</v>
      </c>
      <c r="W22" s="10">
        <v>1465</v>
      </c>
      <c r="X22" t="s">
        <v>158</v>
      </c>
      <c r="Y22" s="6" t="s">
        <v>226</v>
      </c>
      <c r="Z22" t="s">
        <v>230</v>
      </c>
      <c r="AA22">
        <v>9680</v>
      </c>
      <c r="AB22" t="s">
        <v>159</v>
      </c>
      <c r="AC22">
        <v>0.379</v>
      </c>
      <c r="AD22" s="5" t="s">
        <v>6</v>
      </c>
      <c r="AE22" s="19" t="str">
        <f>HYPERLINK("https://scorestorybook.ee/en/juhatuse-liikme-cv?id=277539","link")</f>
        <v>link</v>
      </c>
      <c r="AF22" s="1" t="str">
        <f>HYPERLINK("http://natural.ee ","link")</f>
        <v>link</v>
      </c>
    </row>
    <row r="23" spans="1:32" ht="20.25" customHeight="1" x14ac:dyDescent="0.25">
      <c r="A23">
        <v>11560653</v>
      </c>
      <c r="B23" s="18" t="s">
        <v>145</v>
      </c>
      <c r="C23" t="s">
        <v>146</v>
      </c>
      <c r="D23" t="s">
        <v>220</v>
      </c>
      <c r="E23" t="s">
        <v>7</v>
      </c>
      <c r="F23">
        <v>31091</v>
      </c>
      <c r="G23" s="19" t="str">
        <f>HYPERLINK("https://scorestorybook.ee/en/firma?f=11560653","link")</f>
        <v>link</v>
      </c>
      <c r="H23" t="s">
        <v>147</v>
      </c>
      <c r="I23" s="2">
        <v>40045</v>
      </c>
      <c r="K23">
        <v>0.01</v>
      </c>
      <c r="L23">
        <v>1</v>
      </c>
      <c r="M23" s="10">
        <v>10000</v>
      </c>
      <c r="N23">
        <v>2018</v>
      </c>
      <c r="O23" s="21"/>
      <c r="P23" s="3"/>
      <c r="Q23" s="13">
        <v>0</v>
      </c>
      <c r="R23" s="10">
        <v>19420</v>
      </c>
      <c r="S23" s="10">
        <v>10857</v>
      </c>
      <c r="T23" s="10">
        <v>120384</v>
      </c>
      <c r="U23">
        <v>6</v>
      </c>
      <c r="V23" s="10">
        <v>453650</v>
      </c>
      <c r="W23" s="10">
        <v>1240</v>
      </c>
      <c r="X23" t="s">
        <v>148</v>
      </c>
      <c r="Y23" s="6" t="s">
        <v>226</v>
      </c>
      <c r="Z23" t="s">
        <v>230</v>
      </c>
      <c r="AA23">
        <v>350</v>
      </c>
      <c r="AB23" t="s">
        <v>149</v>
      </c>
      <c r="AC23">
        <v>0.01</v>
      </c>
      <c r="AD23" s="6" t="s">
        <v>226</v>
      </c>
      <c r="AE23" s="19" t="str">
        <f>HYPERLINK("https://scorestorybook.ee/en/juhatuse-liikme-cv?id=409680","link")</f>
        <v>link</v>
      </c>
    </row>
    <row r="24" spans="1:32" ht="20.25" customHeight="1" x14ac:dyDescent="0.25">
      <c r="A24">
        <v>11262341</v>
      </c>
      <c r="B24" s="18" t="s">
        <v>71</v>
      </c>
      <c r="C24" t="s">
        <v>72</v>
      </c>
      <c r="D24" t="s">
        <v>220</v>
      </c>
      <c r="E24" t="s">
        <v>2</v>
      </c>
      <c r="F24">
        <v>43391</v>
      </c>
      <c r="G24" s="19" t="str">
        <f>HYPERLINK("https://scorestorybook.ee/en/firma?f=11262341","link")</f>
        <v>link</v>
      </c>
      <c r="H24" t="s">
        <v>73</v>
      </c>
      <c r="I24" s="2">
        <v>40294</v>
      </c>
      <c r="K24">
        <v>0.57299999999999995</v>
      </c>
      <c r="L24">
        <v>4</v>
      </c>
      <c r="M24" s="10">
        <v>8500</v>
      </c>
      <c r="N24">
        <v>2018</v>
      </c>
      <c r="O24" s="21"/>
      <c r="P24" s="3"/>
      <c r="Q24" s="13"/>
      <c r="R24" s="10">
        <v>68358</v>
      </c>
      <c r="S24" s="10">
        <v>48154</v>
      </c>
      <c r="T24" s="10">
        <v>522141</v>
      </c>
      <c r="U24">
        <v>27</v>
      </c>
      <c r="V24" s="10">
        <v>1804888</v>
      </c>
      <c r="W24" s="10">
        <v>1240</v>
      </c>
      <c r="X24" t="s">
        <v>74</v>
      </c>
      <c r="Y24" s="8" t="s">
        <v>229</v>
      </c>
      <c r="Z24" t="s">
        <v>233</v>
      </c>
      <c r="AA24">
        <v>3570</v>
      </c>
      <c r="AB24" t="s">
        <v>75</v>
      </c>
      <c r="AC24">
        <v>0.19800000000000001</v>
      </c>
      <c r="AD24" s="5" t="s">
        <v>6</v>
      </c>
      <c r="AE24" s="19" t="str">
        <f>HYPERLINK("https://scorestorybook.ee/en/juhatuse-liikme-cv?id=306940","link")</f>
        <v>link</v>
      </c>
      <c r="AF24" s="1" t="str">
        <f>HYPERLINK("http://p-b.ee ","link")</f>
        <v>link</v>
      </c>
    </row>
    <row r="25" spans="1:32" ht="20.25" customHeight="1" x14ac:dyDescent="0.25">
      <c r="A25">
        <v>11378405</v>
      </c>
      <c r="B25" s="18" t="s">
        <v>139</v>
      </c>
      <c r="C25" t="s">
        <v>140</v>
      </c>
      <c r="D25" t="s">
        <v>220</v>
      </c>
      <c r="E25" t="s">
        <v>2</v>
      </c>
      <c r="F25">
        <v>41201</v>
      </c>
      <c r="G25" s="19" t="str">
        <f>HYPERLINK("https://scorestorybook.ee/en/firma?f=11378405","link")</f>
        <v>link</v>
      </c>
      <c r="H25" t="s">
        <v>141</v>
      </c>
      <c r="I25" s="2">
        <v>39295</v>
      </c>
      <c r="K25" s="15">
        <v>0.95499999999999996</v>
      </c>
      <c r="L25">
        <v>5</v>
      </c>
      <c r="M25" s="17">
        <v>0</v>
      </c>
      <c r="N25">
        <v>2018</v>
      </c>
      <c r="O25" s="21" t="s">
        <v>142</v>
      </c>
      <c r="P25" s="7">
        <v>43780</v>
      </c>
      <c r="Q25" s="13"/>
      <c r="R25" s="10">
        <v>47561</v>
      </c>
      <c r="S25" s="10">
        <v>52403</v>
      </c>
      <c r="T25" s="10">
        <v>521900</v>
      </c>
      <c r="U25">
        <v>30</v>
      </c>
      <c r="V25" s="10">
        <v>1041617</v>
      </c>
      <c r="W25" s="10">
        <v>1240</v>
      </c>
      <c r="X25" t="s">
        <v>143</v>
      </c>
      <c r="Y25" s="3" t="s">
        <v>227</v>
      </c>
      <c r="Z25" s="15" t="s">
        <v>232</v>
      </c>
      <c r="AA25">
        <v>1660</v>
      </c>
      <c r="AB25" t="s">
        <v>144</v>
      </c>
      <c r="AC25">
        <v>0.09</v>
      </c>
      <c r="AD25" s="6" t="s">
        <v>226</v>
      </c>
      <c r="AE25" s="19" t="str">
        <f>HYPERLINK("https://scorestorybook.ee/en/juhatuse-liikme-cv?id=329872","link")</f>
        <v>link</v>
      </c>
      <c r="AF25" s="1" t="str">
        <f>HYPERLINK("http://puumaja.ee","link")</f>
        <v>link</v>
      </c>
    </row>
    <row r="26" spans="1:32" ht="20.25" customHeight="1" x14ac:dyDescent="0.25">
      <c r="A26">
        <v>10363212</v>
      </c>
      <c r="B26" s="18" t="s">
        <v>92</v>
      </c>
      <c r="C26" t="s">
        <v>93</v>
      </c>
      <c r="D26" t="s">
        <v>220</v>
      </c>
      <c r="E26" t="s">
        <v>9</v>
      </c>
      <c r="F26">
        <v>46731</v>
      </c>
      <c r="G26" s="19" t="str">
        <f>HYPERLINK("https://scorestorybook.ee/en/firma?f=10363212","link")</f>
        <v>link</v>
      </c>
      <c r="H26" t="s">
        <v>94</v>
      </c>
      <c r="I26" s="2">
        <v>34639</v>
      </c>
      <c r="K26">
        <v>0.01</v>
      </c>
      <c r="L26">
        <v>1</v>
      </c>
      <c r="M26" s="10">
        <v>100000</v>
      </c>
      <c r="N26">
        <v>2018</v>
      </c>
      <c r="O26" s="21"/>
      <c r="P26" s="3"/>
      <c r="Q26" s="13"/>
      <c r="R26" s="10">
        <v>675817</v>
      </c>
      <c r="S26" s="10">
        <v>292732</v>
      </c>
      <c r="T26" s="10">
        <v>8133929</v>
      </c>
      <c r="U26">
        <v>93</v>
      </c>
      <c r="V26" s="10">
        <v>32393718</v>
      </c>
      <c r="W26" s="10">
        <v>1920</v>
      </c>
      <c r="X26" t="s">
        <v>95</v>
      </c>
      <c r="Y26" s="6" t="s">
        <v>226</v>
      </c>
      <c r="Z26" t="s">
        <v>230</v>
      </c>
      <c r="AA26">
        <v>18200</v>
      </c>
      <c r="AB26" t="s">
        <v>96</v>
      </c>
      <c r="AC26">
        <v>0.505</v>
      </c>
      <c r="AD26" s="3" t="s">
        <v>227</v>
      </c>
      <c r="AE26" s="19" t="str">
        <f>HYPERLINK("https://scorestorybook.ee/en/juhatuse-liikme-cv?id=279890","link")</f>
        <v>link</v>
      </c>
      <c r="AF26" s="1" t="str">
        <f>HYPERLINK("https://puumarket.ee","link")</f>
        <v>link</v>
      </c>
    </row>
    <row r="27" spans="1:32" ht="20.25" customHeight="1" x14ac:dyDescent="0.25">
      <c r="A27">
        <v>10254517</v>
      </c>
      <c r="B27" s="18" t="s">
        <v>103</v>
      </c>
      <c r="C27" t="s">
        <v>104</v>
      </c>
      <c r="D27" t="s">
        <v>220</v>
      </c>
      <c r="E27" t="s">
        <v>2</v>
      </c>
      <c r="F27">
        <v>43911</v>
      </c>
      <c r="G27" s="19" t="str">
        <f>HYPERLINK("https://scorestorybook.ee/en/firma?f=10254517","link")</f>
        <v>link</v>
      </c>
      <c r="H27" t="s">
        <v>105</v>
      </c>
      <c r="I27" s="2">
        <v>36100</v>
      </c>
      <c r="K27">
        <v>0.01</v>
      </c>
      <c r="L27">
        <v>1</v>
      </c>
      <c r="M27" s="10">
        <v>38100</v>
      </c>
      <c r="N27">
        <v>2018</v>
      </c>
      <c r="O27" s="21"/>
      <c r="P27" s="3"/>
      <c r="Q27" s="13"/>
      <c r="R27" s="10">
        <v>60875</v>
      </c>
      <c r="S27" s="10">
        <v>23962</v>
      </c>
      <c r="T27" s="10">
        <v>486470</v>
      </c>
      <c r="U27">
        <v>11</v>
      </c>
      <c r="V27" s="10">
        <v>1747830</v>
      </c>
      <c r="W27" s="10">
        <v>1465</v>
      </c>
      <c r="X27" t="s">
        <v>106</v>
      </c>
      <c r="Y27" s="6" t="s">
        <v>226</v>
      </c>
      <c r="Z27" t="s">
        <v>230</v>
      </c>
      <c r="AA27">
        <v>2060</v>
      </c>
      <c r="AB27" t="s">
        <v>107</v>
      </c>
      <c r="AC27">
        <v>0.255</v>
      </c>
      <c r="AD27" s="5" t="s">
        <v>6</v>
      </c>
      <c r="AE27" s="19" t="str">
        <f>HYPERLINK("https://scorestorybook.ee/en/juhatuse-liikme-cv?id=275516","link")</f>
        <v>link</v>
      </c>
      <c r="AF27" s="1" t="str">
        <f>HYPERLINK("http://rainter.ee","link")</f>
        <v>link</v>
      </c>
    </row>
    <row r="28" spans="1:32" ht="20.25" customHeight="1" x14ac:dyDescent="0.25">
      <c r="A28">
        <v>12180881</v>
      </c>
      <c r="B28" s="18" t="s">
        <v>29</v>
      </c>
      <c r="C28" t="s">
        <v>30</v>
      </c>
      <c r="D28" t="s">
        <v>220</v>
      </c>
      <c r="E28" t="s">
        <v>7</v>
      </c>
      <c r="F28">
        <v>16232</v>
      </c>
      <c r="G28" s="19" t="str">
        <f>HYPERLINK("https://scorestorybook.ee/en/firma?f=12180881","link")</f>
        <v>link</v>
      </c>
      <c r="H28" t="s">
        <v>31</v>
      </c>
      <c r="I28" s="2">
        <v>40843</v>
      </c>
      <c r="K28">
        <v>0.01</v>
      </c>
      <c r="L28">
        <v>1</v>
      </c>
      <c r="M28" s="10">
        <v>71300</v>
      </c>
      <c r="N28">
        <v>2018</v>
      </c>
      <c r="O28" s="21"/>
      <c r="P28" s="3"/>
      <c r="Q28" s="13"/>
      <c r="R28" s="10">
        <v>96130</v>
      </c>
      <c r="S28" s="10">
        <v>43658</v>
      </c>
      <c r="T28" s="10">
        <v>930045</v>
      </c>
      <c r="U28">
        <v>28</v>
      </c>
      <c r="V28" s="10">
        <v>3113709</v>
      </c>
      <c r="W28" s="10">
        <v>1100</v>
      </c>
      <c r="X28" t="s">
        <v>32</v>
      </c>
      <c r="Y28" s="6" t="s">
        <v>226</v>
      </c>
      <c r="Z28" t="s">
        <v>230</v>
      </c>
      <c r="AA28">
        <v>2540</v>
      </c>
      <c r="AB28" t="s">
        <v>33</v>
      </c>
      <c r="AC28">
        <v>0.5</v>
      </c>
      <c r="AD28" s="3" t="s">
        <v>227</v>
      </c>
      <c r="AE28" s="19" t="str">
        <f>HYPERLINK("https://scorestorybook.ee/en/juhatuse-liikme-cv?id=380200","link")</f>
        <v>link</v>
      </c>
      <c r="AF28" s="1" t="str">
        <f>HYPERLINK("http://scanhus.ee","link")</f>
        <v>link</v>
      </c>
    </row>
    <row r="29" spans="1:32" ht="20.25" customHeight="1" x14ac:dyDescent="0.25">
      <c r="A29">
        <v>11318840</v>
      </c>
      <c r="B29" s="18" t="s">
        <v>60</v>
      </c>
      <c r="C29" t="s">
        <v>61</v>
      </c>
      <c r="D29" t="s">
        <v>220</v>
      </c>
      <c r="E29" t="s">
        <v>2</v>
      </c>
      <c r="F29">
        <v>43911</v>
      </c>
      <c r="G29" s="19" t="str">
        <f>HYPERLINK("https://scorestorybook.ee/en/firma?f=11318840","link")</f>
        <v>link</v>
      </c>
      <c r="H29" t="s">
        <v>62</v>
      </c>
      <c r="I29" s="2">
        <v>40094</v>
      </c>
      <c r="K29">
        <v>0.57299999999999995</v>
      </c>
      <c r="L29">
        <v>4</v>
      </c>
      <c r="M29" s="17">
        <v>0</v>
      </c>
      <c r="N29" s="15">
        <v>2017</v>
      </c>
      <c r="O29" s="21" t="s">
        <v>63</v>
      </c>
      <c r="P29" s="7">
        <v>43900</v>
      </c>
      <c r="Q29" s="13"/>
      <c r="R29" s="10">
        <v>28826</v>
      </c>
      <c r="S29" s="10">
        <v>14993</v>
      </c>
      <c r="T29" s="10">
        <v>1115987</v>
      </c>
      <c r="U29">
        <v>3</v>
      </c>
      <c r="V29" s="10">
        <v>5360344</v>
      </c>
      <c r="W29" s="10">
        <v>2985</v>
      </c>
      <c r="X29" t="s">
        <v>64</v>
      </c>
      <c r="Y29" s="8" t="s">
        <v>229</v>
      </c>
      <c r="Z29" t="s">
        <v>233</v>
      </c>
      <c r="AA29">
        <v>1851</v>
      </c>
      <c r="AB29" t="s">
        <v>65</v>
      </c>
      <c r="AC29">
        <v>0.157</v>
      </c>
      <c r="AD29" s="5" t="s">
        <v>6</v>
      </c>
      <c r="AE29" s="19" t="str">
        <f>HYPERLINK("https://scorestorybook.ee/en/juhatuse-liikme-cv?id=271089","link")</f>
        <v>link</v>
      </c>
      <c r="AF29" s="1" t="str">
        <f>HYPERLINK("http://semt.ee","link")</f>
        <v>link</v>
      </c>
    </row>
    <row r="30" spans="1:32" ht="20.25" customHeight="1" x14ac:dyDescent="0.25">
      <c r="A30">
        <v>11244389</v>
      </c>
      <c r="B30" s="18" t="s">
        <v>129</v>
      </c>
      <c r="C30" t="s">
        <v>130</v>
      </c>
      <c r="D30" t="s">
        <v>220</v>
      </c>
      <c r="E30" t="s">
        <v>2</v>
      </c>
      <c r="F30">
        <v>41201</v>
      </c>
      <c r="G30" s="19" t="str">
        <f>HYPERLINK("https://scorestorybook.ee/en/firma?f=11244389","link")</f>
        <v>link</v>
      </c>
      <c r="H30" t="s">
        <v>131</v>
      </c>
      <c r="I30" s="2">
        <v>39419</v>
      </c>
      <c r="K30">
        <v>0.01</v>
      </c>
      <c r="L30">
        <v>1</v>
      </c>
      <c r="M30" s="10">
        <v>12600</v>
      </c>
      <c r="N30">
        <v>2018</v>
      </c>
      <c r="O30" s="21"/>
      <c r="P30" s="3"/>
      <c r="Q30" s="13"/>
      <c r="R30" s="10">
        <v>9420</v>
      </c>
      <c r="S30" s="10">
        <v>5256</v>
      </c>
      <c r="T30" s="10">
        <v>174256</v>
      </c>
      <c r="U30">
        <v>4</v>
      </c>
      <c r="V30" s="10">
        <v>370759</v>
      </c>
      <c r="W30" s="10">
        <v>975</v>
      </c>
      <c r="X30" t="s">
        <v>132</v>
      </c>
      <c r="Y30" s="6" t="s">
        <v>226</v>
      </c>
      <c r="Z30" t="s">
        <v>230</v>
      </c>
      <c r="AA30">
        <v>1140</v>
      </c>
      <c r="AB30" t="s">
        <v>133</v>
      </c>
      <c r="AC30">
        <v>0.01</v>
      </c>
      <c r="AD30" s="6" t="s">
        <v>226</v>
      </c>
      <c r="AE30" s="19" t="str">
        <f>HYPERLINK("https://scorestorybook.ee/en/juhatuse-liikme-cv?id=319604","link")</f>
        <v>link</v>
      </c>
      <c r="AF30" s="1" t="str">
        <f>HYPERLINK("http://silmar.ee","link")</f>
        <v>link</v>
      </c>
    </row>
    <row r="31" spans="1:32" ht="20.25" customHeight="1" x14ac:dyDescent="0.25">
      <c r="A31">
        <v>12393915</v>
      </c>
      <c r="B31" s="18" t="s">
        <v>108</v>
      </c>
      <c r="C31" t="s">
        <v>109</v>
      </c>
      <c r="D31" t="s">
        <v>220</v>
      </c>
      <c r="E31" t="s">
        <v>7</v>
      </c>
      <c r="F31">
        <v>16101</v>
      </c>
      <c r="G31" s="19" t="str">
        <f>HYPERLINK("https://scorestorybook.ee/en/firma?f=12393915","link")</f>
        <v>link</v>
      </c>
      <c r="H31" t="s">
        <v>110</v>
      </c>
      <c r="I31" s="2">
        <v>41445</v>
      </c>
      <c r="K31" s="15">
        <v>0.999</v>
      </c>
      <c r="L31">
        <v>5</v>
      </c>
      <c r="M31" s="17">
        <v>0</v>
      </c>
      <c r="N31">
        <v>2018</v>
      </c>
      <c r="O31" s="21" t="s">
        <v>111</v>
      </c>
      <c r="P31" s="7">
        <v>43535</v>
      </c>
      <c r="Q31" s="13">
        <v>1131.28</v>
      </c>
      <c r="R31" s="10">
        <v>160</v>
      </c>
      <c r="S31" s="17">
        <v>0</v>
      </c>
      <c r="T31" s="17">
        <v>0</v>
      </c>
      <c r="U31">
        <v>3</v>
      </c>
      <c r="V31" s="10">
        <v>111938</v>
      </c>
      <c r="W31" s="17">
        <v>0</v>
      </c>
      <c r="X31" t="s">
        <v>112</v>
      </c>
      <c r="Y31" s="3" t="s">
        <v>227</v>
      </c>
      <c r="Z31" s="15" t="s">
        <v>232</v>
      </c>
      <c r="AA31" s="15">
        <v>-119760</v>
      </c>
      <c r="AB31" t="s">
        <v>113</v>
      </c>
      <c r="AC31">
        <v>0.57799999999999996</v>
      </c>
      <c r="AD31" s="3" t="s">
        <v>227</v>
      </c>
      <c r="AE31" s="19" t="str">
        <f>HYPERLINK("https://scorestorybook.ee/en/juhatuse-liikme-cv?id=465456","link")</f>
        <v>link</v>
      </c>
      <c r="AF31" s="1" t="str">
        <f>HYPERLINK("http://sonetum.ee ","link")</f>
        <v>link</v>
      </c>
    </row>
    <row r="32" spans="1:32" ht="20.25" customHeight="1" x14ac:dyDescent="0.25">
      <c r="A32">
        <v>10344446</v>
      </c>
      <c r="B32" s="18" t="s">
        <v>50</v>
      </c>
      <c r="C32" t="s">
        <v>51</v>
      </c>
      <c r="D32" t="s">
        <v>220</v>
      </c>
      <c r="E32" t="s">
        <v>2</v>
      </c>
      <c r="F32">
        <v>43999</v>
      </c>
      <c r="G32" s="19" t="str">
        <f>HYPERLINK("https://scorestorybook.ee/en/firma?f=10344446","link")</f>
        <v>link</v>
      </c>
      <c r="H32" t="s">
        <v>52</v>
      </c>
      <c r="I32" s="2">
        <v>34547</v>
      </c>
      <c r="K32">
        <v>0.01</v>
      </c>
      <c r="L32">
        <v>1</v>
      </c>
      <c r="M32" s="10">
        <v>60300</v>
      </c>
      <c r="N32">
        <v>2018</v>
      </c>
      <c r="O32" s="21"/>
      <c r="P32" s="3"/>
      <c r="Q32" s="13"/>
      <c r="R32" s="10">
        <v>90041</v>
      </c>
      <c r="S32" s="10">
        <v>32842</v>
      </c>
      <c r="T32" s="10">
        <v>781544</v>
      </c>
      <c r="U32">
        <v>15</v>
      </c>
      <c r="V32" s="10">
        <v>2476448</v>
      </c>
      <c r="W32" s="10">
        <v>1465</v>
      </c>
      <c r="X32" t="s">
        <v>53</v>
      </c>
      <c r="Y32" s="6" t="s">
        <v>226</v>
      </c>
      <c r="Z32" t="s">
        <v>230</v>
      </c>
      <c r="AA32">
        <v>1970</v>
      </c>
      <c r="AB32" t="s">
        <v>54</v>
      </c>
      <c r="AC32">
        <v>1</v>
      </c>
      <c r="AD32" s="3" t="s">
        <v>227</v>
      </c>
      <c r="AE32" s="19" t="str">
        <f>HYPERLINK("https://scorestorybook.ee/en/juhatuse-liikme-cv?id=279171","link")</f>
        <v>link</v>
      </c>
      <c r="AF32" s="1" t="str">
        <f>HYPERLINK("http://www.sulaneehitab.ee","link")</f>
        <v>link</v>
      </c>
    </row>
    <row r="33" spans="1:32" ht="20.25" customHeight="1" x14ac:dyDescent="0.25">
      <c r="A33">
        <v>11005609</v>
      </c>
      <c r="B33" s="18" t="s">
        <v>10</v>
      </c>
      <c r="C33" t="s">
        <v>11</v>
      </c>
      <c r="D33" t="s">
        <v>220</v>
      </c>
      <c r="E33" t="s">
        <v>2</v>
      </c>
      <c r="F33">
        <v>42211</v>
      </c>
      <c r="G33" s="19" t="str">
        <f>HYPERLINK("https://scorestorybook.ee/en/firma?f=11005609","link")</f>
        <v>link</v>
      </c>
      <c r="H33" t="s">
        <v>12</v>
      </c>
      <c r="I33" s="2">
        <v>38138</v>
      </c>
      <c r="K33">
        <v>0.01</v>
      </c>
      <c r="L33">
        <v>1</v>
      </c>
      <c r="M33" s="10">
        <v>100000</v>
      </c>
      <c r="N33">
        <v>2018</v>
      </c>
      <c r="O33" s="21"/>
      <c r="P33" s="3"/>
      <c r="Q33" s="13"/>
      <c r="R33" s="10">
        <v>120193</v>
      </c>
      <c r="S33" s="10">
        <v>21301</v>
      </c>
      <c r="T33" s="10">
        <v>1516000</v>
      </c>
      <c r="U33">
        <v>10</v>
      </c>
      <c r="V33" s="10">
        <v>2639679</v>
      </c>
      <c r="W33" s="10">
        <v>1465</v>
      </c>
      <c r="X33" t="s">
        <v>13</v>
      </c>
      <c r="Y33" s="6" t="s">
        <v>226</v>
      </c>
      <c r="Z33" t="s">
        <v>230</v>
      </c>
      <c r="AA33">
        <v>2320</v>
      </c>
      <c r="AB33" t="s">
        <v>14</v>
      </c>
      <c r="AC33">
        <v>0.14799999999999999</v>
      </c>
      <c r="AD33" s="5" t="s">
        <v>6</v>
      </c>
      <c r="AE33" s="19" t="str">
        <f>HYPERLINK("https://scorestorybook.ee/en/juhatuse-liikme-cv?id=313352","link")</f>
        <v>link</v>
      </c>
      <c r="AF33" s="1" t="str">
        <f>HYPERLINK("http://tartal.ee","link")</f>
        <v>link</v>
      </c>
    </row>
    <row r="34" spans="1:32" ht="20.25" customHeight="1" x14ac:dyDescent="0.25">
      <c r="A34">
        <v>10255052</v>
      </c>
      <c r="B34" s="18" t="s">
        <v>88</v>
      </c>
      <c r="C34" t="s">
        <v>76</v>
      </c>
      <c r="D34" t="s">
        <v>220</v>
      </c>
      <c r="E34" t="s">
        <v>9</v>
      </c>
      <c r="F34">
        <v>47529</v>
      </c>
      <c r="G34" s="19" t="str">
        <f>HYPERLINK("https://scorestorybook.ee/en/firma?f=10255052","link")</f>
        <v>link</v>
      </c>
      <c r="H34" t="s">
        <v>89</v>
      </c>
      <c r="I34" s="2">
        <v>34881</v>
      </c>
      <c r="K34">
        <v>0.01</v>
      </c>
      <c r="L34">
        <v>1</v>
      </c>
      <c r="M34" s="10">
        <v>100000</v>
      </c>
      <c r="N34">
        <v>2018</v>
      </c>
      <c r="O34" s="21"/>
      <c r="P34" s="3"/>
      <c r="Q34" s="13"/>
      <c r="R34" s="10">
        <v>122362</v>
      </c>
      <c r="S34" s="10">
        <v>60245</v>
      </c>
      <c r="T34" s="10">
        <v>2386346</v>
      </c>
      <c r="U34">
        <v>25</v>
      </c>
      <c r="V34" s="10">
        <v>8603048</v>
      </c>
      <c r="W34" s="10">
        <v>1540</v>
      </c>
      <c r="X34" t="s">
        <v>90</v>
      </c>
      <c r="Y34" s="6" t="s">
        <v>226</v>
      </c>
      <c r="Z34" t="s">
        <v>230</v>
      </c>
      <c r="AA34">
        <v>7190</v>
      </c>
      <c r="AB34" t="s">
        <v>91</v>
      </c>
      <c r="AC34">
        <v>0.52200000000000002</v>
      </c>
      <c r="AD34" s="3" t="s">
        <v>227</v>
      </c>
      <c r="AE34" s="19" t="str">
        <f>HYPERLINK("https://scorestorybook.ee/en/juhatuse-liikme-cv?id=239702","link")</f>
        <v>link</v>
      </c>
      <c r="AF34" s="1" t="str">
        <f>HYPERLINK("http://estspa.ee ","link")</f>
        <v>link</v>
      </c>
    </row>
    <row r="35" spans="1:32" ht="20.25" customHeight="1" x14ac:dyDescent="0.25">
      <c r="A35">
        <v>10083458</v>
      </c>
      <c r="B35" s="18" t="s">
        <v>15</v>
      </c>
      <c r="C35" t="s">
        <v>8</v>
      </c>
      <c r="D35" t="s">
        <v>220</v>
      </c>
      <c r="E35" t="s">
        <v>9</v>
      </c>
      <c r="F35">
        <v>46732</v>
      </c>
      <c r="G35" s="19" t="str">
        <f>HYPERLINK("https://scorestorybook.ee/en/firma?f=10083458","link")</f>
        <v>link</v>
      </c>
      <c r="H35" t="s">
        <v>16</v>
      </c>
      <c r="I35" s="2">
        <v>34335</v>
      </c>
      <c r="K35">
        <v>0.01</v>
      </c>
      <c r="L35">
        <v>1</v>
      </c>
      <c r="M35" s="10">
        <v>100000</v>
      </c>
      <c r="N35">
        <v>2018</v>
      </c>
      <c r="O35" s="21"/>
      <c r="P35" s="3"/>
      <c r="Q35" s="13"/>
      <c r="R35" s="10">
        <v>60713</v>
      </c>
      <c r="S35" s="10">
        <v>36435</v>
      </c>
      <c r="T35" s="10">
        <v>1565386</v>
      </c>
      <c r="U35">
        <v>28</v>
      </c>
      <c r="V35" s="10">
        <v>5689070</v>
      </c>
      <c r="W35" s="10">
        <v>975</v>
      </c>
      <c r="X35" t="s">
        <v>17</v>
      </c>
      <c r="Y35" s="6" t="s">
        <v>226</v>
      </c>
      <c r="Z35" t="s">
        <v>230</v>
      </c>
      <c r="AA35">
        <v>4060</v>
      </c>
      <c r="AB35" t="s">
        <v>18</v>
      </c>
      <c r="AC35">
        <v>7.0000000000000001E-3</v>
      </c>
      <c r="AD35" s="6" t="s">
        <v>226</v>
      </c>
      <c r="AE35" s="19" t="str">
        <f>HYPERLINK("https://scorestorybook.ee/en/juhatuse-liikme-cv?id=268183","link")</f>
        <v>link</v>
      </c>
    </row>
    <row r="36" spans="1:32" ht="20.25" customHeight="1" x14ac:dyDescent="0.25">
      <c r="A36">
        <v>11173525</v>
      </c>
      <c r="B36" s="18" t="s">
        <v>77</v>
      </c>
      <c r="C36" t="s">
        <v>78</v>
      </c>
      <c r="D36" t="s">
        <v>220</v>
      </c>
      <c r="E36" t="s">
        <v>2</v>
      </c>
      <c r="F36">
        <v>43991</v>
      </c>
      <c r="G36" s="19" t="str">
        <f>HYPERLINK("https://scorestorybook.ee/en/firma?f=11173525","link")</f>
        <v>link</v>
      </c>
      <c r="H36" t="s">
        <v>79</v>
      </c>
      <c r="I36" s="2">
        <v>38718</v>
      </c>
      <c r="K36">
        <v>0.01</v>
      </c>
      <c r="L36">
        <v>1</v>
      </c>
      <c r="M36" s="10">
        <v>38700</v>
      </c>
      <c r="N36">
        <v>2018</v>
      </c>
      <c r="O36" s="21"/>
      <c r="P36" s="3"/>
      <c r="Q36" s="13"/>
      <c r="R36" s="10">
        <v>58642</v>
      </c>
      <c r="S36" s="10">
        <v>45334</v>
      </c>
      <c r="T36" s="10">
        <v>476780</v>
      </c>
      <c r="U36">
        <v>15</v>
      </c>
      <c r="V36" s="10">
        <v>2477937</v>
      </c>
      <c r="W36" s="10">
        <v>1845</v>
      </c>
      <c r="X36" t="s">
        <v>80</v>
      </c>
      <c r="Y36" s="6" t="s">
        <v>226</v>
      </c>
      <c r="Z36" t="s">
        <v>230</v>
      </c>
      <c r="AA36">
        <v>2310</v>
      </c>
      <c r="AB36" t="s">
        <v>81</v>
      </c>
      <c r="AC36">
        <v>0.505</v>
      </c>
      <c r="AD36" s="3" t="s">
        <v>227</v>
      </c>
      <c r="AE36" s="19" t="str">
        <f>HYPERLINK("https://scorestorybook.ee/en/juhatuse-liikme-cv?id=299808","link")</f>
        <v>link</v>
      </c>
      <c r="AF36" s="1" t="str">
        <f>HYPERLINK("http://volaribetoon.ee","link")</f>
        <v>link</v>
      </c>
    </row>
    <row r="37" spans="1:32" ht="20.25" customHeight="1" x14ac:dyDescent="0.25">
      <c r="A37">
        <v>11667990</v>
      </c>
      <c r="B37" s="18" t="s">
        <v>45</v>
      </c>
      <c r="C37" t="s">
        <v>46</v>
      </c>
      <c r="D37" t="s">
        <v>220</v>
      </c>
      <c r="E37" t="s">
        <v>2</v>
      </c>
      <c r="F37">
        <v>43991</v>
      </c>
      <c r="G37" s="19" t="str">
        <f>HYPERLINK("https://scorestorybook.ee/en/firma?f=11667990","link")</f>
        <v>link</v>
      </c>
      <c r="H37" t="s">
        <v>47</v>
      </c>
      <c r="I37" s="2">
        <v>40141</v>
      </c>
      <c r="K37">
        <v>0.01</v>
      </c>
      <c r="L37">
        <v>1</v>
      </c>
      <c r="M37" s="10">
        <v>5400</v>
      </c>
      <c r="N37">
        <v>2018</v>
      </c>
      <c r="O37" s="21"/>
      <c r="P37" s="3"/>
      <c r="Q37" s="13"/>
      <c r="R37" s="10">
        <v>11163</v>
      </c>
      <c r="S37" s="10">
        <v>6183</v>
      </c>
      <c r="T37" s="10">
        <v>63057</v>
      </c>
      <c r="U37">
        <v>3</v>
      </c>
      <c r="V37" s="10">
        <v>441913</v>
      </c>
      <c r="W37" s="10">
        <v>1390</v>
      </c>
      <c r="X37" t="s">
        <v>48</v>
      </c>
      <c r="Y37" s="6" t="s">
        <v>226</v>
      </c>
      <c r="Z37" t="s">
        <v>230</v>
      </c>
      <c r="AA37">
        <v>1190</v>
      </c>
      <c r="AB37" t="s">
        <v>49</v>
      </c>
      <c r="AC37">
        <v>0.505</v>
      </c>
      <c r="AD37" s="3" t="s">
        <v>227</v>
      </c>
      <c r="AE37" s="19" t="str">
        <f>HYPERLINK("https://scorestorybook.ee/en/juhatuse-liikme-cv?id=346812","link")</f>
        <v>link</v>
      </c>
      <c r="AF37" s="1" t="str">
        <f>HYPERLINK("http://vorteko.ee","link")</f>
        <v>link</v>
      </c>
    </row>
    <row r="38" spans="1:32" x14ac:dyDescent="0.25">
      <c r="D38" s="9"/>
    </row>
  </sheetData>
  <autoFilter ref="A1:AF163">
    <sortState ref="A2:AG38">
      <sortCondition ref="B1:B163"/>
    </sortState>
  </autoFilter>
  <sortState ref="A2:AG163">
    <sortCondition ref="L2:L163"/>
    <sortCondition ref="AD2:AD163"/>
  </sortState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Marie Rosin</cp:lastModifiedBy>
  <dcterms:created xsi:type="dcterms:W3CDTF">2020-03-24T10:03:56Z</dcterms:created>
  <dcterms:modified xsi:type="dcterms:W3CDTF">2020-10-31T05:42:26Z</dcterms:modified>
</cp:coreProperties>
</file>